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FileDetails" sheetId="1" state="visible" r:id="rId2"/>
    <sheet name="Protocol - HA - EC" sheetId="2" state="visible" r:id="rId3"/>
    <sheet name="IB" sheetId="3" state="visible" r:id="rId4"/>
    <sheet name="MVR and FUL" sheetId="4" state="visible" r:id="rId5"/>
    <sheet name="1572-US-FDF-CV" sheetId="5" state="visible" r:id="rId6"/>
    <sheet name="Visit Dates_demographics" sheetId="6" state="visible" r:id="rId7"/>
    <sheet name="Adverse Events" sheetId="7" state="visible" r:id="rId8"/>
    <sheet name="Medical History" sheetId="8" state="visible" r:id="rId9"/>
    <sheet name="Pharmacokinetics" sheetId="9" state="visible" r:id="rId10"/>
    <sheet name="IP admin" sheetId="10" state="visible" r:id="rId11"/>
    <sheet name="Vital Signs" sheetId="11" state="visible" r:id="rId12"/>
    <sheet name="Local Labs" sheetId="12" state="visible" r:id="rId13"/>
    <sheet name="Study Level" sheetId="13" state="visible" r:id="rId14"/>
    <sheet name="Country Level -" sheetId="14" state="visible" r:id="rId15"/>
    <sheet name="Site Level for Selected Sites" sheetId="15" state="visible" r:id="rId16"/>
  </sheets>
  <definedNames>
    <definedName function="false" hidden="true" localSheetId="13" name="_xlnm._FilterDatabase" vbProcedure="false">'Country Level -'!$A$1:$Q$6</definedName>
    <definedName function="false" hidden="true" localSheetId="12" name="_xlnm._FilterDatabase" vbProcedure="false">'Study Level'!$A$1:$O$6</definedName>
  </definedNames>
  <calcPr iterateCount="100" refMode="A1" iterate="false" iterateDelta="0.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0"/>
            <charset val="1"/>
          </rPr>
          <t xml:space="preserve">======
ID#AAABQGjxKJM
Arkadeep Sarkar    (2024-06-19 10:56:24)
Adverse Events data</t>
        </r>
      </text>
    </comment>
  </commentList>
</comments>
</file>

<file path=xl/sharedStrings.xml><?xml version="1.0" encoding="utf-8"?>
<sst xmlns="http://schemas.openxmlformats.org/spreadsheetml/2006/main" count="12684" uniqueCount="1767">
  <si>
    <t xml:space="preserve">Filepath</t>
  </si>
  <si>
    <t xml:space="preserve">Report Type</t>
  </si>
  <si>
    <t xml:space="preserve">Form Name</t>
  </si>
  <si>
    <t xml:space="preserve">Status</t>
  </si>
  <si>
    <t xml:space="preserve">D:\Work\199_CRR\Custom Rave\61186372NSC2002\Reports\Date of Visit_1</t>
  </si>
  <si>
    <t xml:space="preserve">Date of Visit</t>
  </si>
  <si>
    <t xml:space="preserve">Date of Visit_1</t>
  </si>
  <si>
    <t xml:space="preserve">D:\Work\199_CRR\Custom Rave\61186372NSC2002\Reports\Date of Visit Unscheduled_2</t>
  </si>
  <si>
    <t xml:space="preserve">Date of Visit (Unscheduled)_2</t>
  </si>
  <si>
    <t xml:space="preserve">D:\Work\199_CRR\Custom Rave\61186372NSC2002\Reports\Disease Evaluation Date of Visit_3</t>
  </si>
  <si>
    <t xml:space="preserve">Disease Evaluation Date of Visit_3</t>
  </si>
  <si>
    <t xml:space="preserve">D:\Work\199_CRR\Custom Rave\61186372NSC2002\Reports\Demographics_1</t>
  </si>
  <si>
    <t xml:space="preserve">Demographics</t>
  </si>
  <si>
    <t xml:space="preserve">Demographics_1</t>
  </si>
  <si>
    <t xml:space="preserve">D:\Work\199_CRR\Custom Rave\61186372NSC2002\Reports\Trial Disposition Completion Discontinuation_1</t>
  </si>
  <si>
    <t xml:space="preserve">Trial Disposition</t>
  </si>
  <si>
    <t xml:space="preserve">Trial Disposition (Completion/ Discontinuation)_1</t>
  </si>
  <si>
    <t xml:space="preserve">D:\Work\199_CRR\Custom Rave\61186372NSC2002\Reports\Adverse EventsSerious AEs_1</t>
  </si>
  <si>
    <t xml:space="preserve">AE</t>
  </si>
  <si>
    <t xml:space="preserve">Adverse Events/Serious AEs_1</t>
  </si>
  <si>
    <t xml:space="preserve">D:\Work\199_CRR\Custom Rave\61186372NSC2002\Reports\COVID19 Medical History_1</t>
  </si>
  <si>
    <t xml:space="preserve">medical history</t>
  </si>
  <si>
    <t xml:space="preserve">COVID-19 Medical History_1</t>
  </si>
  <si>
    <t xml:space="preserve">D:\Work\199_CRR\Custom Rave\61186372NSC2002\Reports\General Medical History_2</t>
  </si>
  <si>
    <t xml:space="preserve">General Medical History_2</t>
  </si>
  <si>
    <t xml:space="preserve">D:\Work\199_CRR\Custom Rave\61186372NSC2002\Reports\Relevant Medical History_3</t>
  </si>
  <si>
    <t xml:space="preserve">Relevant Medical History_3</t>
  </si>
  <si>
    <t xml:space="preserve">D:\Work\199_CRR\Custom Rave\61186372NSC2002\Reports\Study Drug Administration for Lazertinib_1</t>
  </si>
  <si>
    <t xml:space="preserve">IP SC Admin</t>
  </si>
  <si>
    <t xml:space="preserve">Study Drug Administration for Lazertinib_1</t>
  </si>
  <si>
    <t xml:space="preserve">D:\Work\199_CRR\Custom Rave\61186372NSC2002\Reports\Study Drug Infusion Administration for Carboplatin_2</t>
  </si>
  <si>
    <t xml:space="preserve">Study Drug Infusion Administration for Carboplatin_2</t>
  </si>
  <si>
    <t xml:space="preserve">D:\Work\199_CRR\Custom Rave\61186372NSC2002\Reports\Study Drug Infusion Administration for Pemetrexed_3</t>
  </si>
  <si>
    <t xml:space="preserve">Study Drug Infusion Administration for Pemetrexed_3</t>
  </si>
  <si>
    <t xml:space="preserve">D:\Work\199_CRR\Custom Rave\61186372NSC2002\Reports\Study Drug Injection Administration for Amivantamab SCCF_4</t>
  </si>
  <si>
    <t xml:space="preserve">Study Drug Injection Administration for Amivantamab SC-CF_4</t>
  </si>
  <si>
    <t xml:space="preserve">D:\Work\199_CRR\Custom Rave\61186372NSC2002\Reports\Pharmacokinetics Blood Sample for Lazertinib EOT_1</t>
  </si>
  <si>
    <t xml:space="preserve">PK</t>
  </si>
  <si>
    <t xml:space="preserve">Pharmacokinetics Blood Sample for Lazertinib (EOT)_1</t>
  </si>
  <si>
    <t xml:space="preserve">VBA Code execution unsuccessful due to - Subscript out of range</t>
  </si>
  <si>
    <t xml:space="preserve">D:\Work\199_CRR\Custom Rave\61186372NSC2002\Reports\Pharmacokinetics Blood Sample for Lazertinib Predose &amp; Postdose_2</t>
  </si>
  <si>
    <t xml:space="preserve">Pharmacokinetics Blood Sample for Lazertinib (Predose &amp; Postdose)_2</t>
  </si>
  <si>
    <t xml:space="preserve">D:\Work\199_CRR\Custom Rave\61186372NSC2002\Reports\Pharmacokinetics Blood Sample for Lazertinib Predose_3</t>
  </si>
  <si>
    <t xml:space="preserve">Pharmacokinetics Blood Sample for Lazertinib (Predose)_3</t>
  </si>
  <si>
    <t xml:space="preserve">D:\Work\199_CRR\Custom Rave\61186372NSC2002\Reports\Pharmacokinetics Blood Sample for Lazertinib Unscheduled_4</t>
  </si>
  <si>
    <t xml:space="preserve">Pharmacokinetics Blood Sample for Lazertinib (Unscheduled)_4</t>
  </si>
  <si>
    <t xml:space="preserve">D:\Work\199_CRR\Custom Rave\61186372NSC2002\Reports\Pharmacokinetics Blood Sample for Lazertinib for Cohort 3_5</t>
  </si>
  <si>
    <t xml:space="preserve">Pharmacokinetics Blood Sample for Lazertinib for Cohort 3_5</t>
  </si>
  <si>
    <t xml:space="preserve">D:\Work\199_CRR\Custom Rave\61186372NSC2002\Reports\Lazertinib Administration on Day of PK Sampling_1</t>
  </si>
  <si>
    <t xml:space="preserve">Lazertinib Administration on Day of PK Sampling_1</t>
  </si>
  <si>
    <t xml:space="preserve">D:\Work\199_CRR\Custom Rave\61186372NSC2002\Reports\Lazertinib Administration on Day of PK Sampling for Cohort 3_2</t>
  </si>
  <si>
    <t xml:space="preserve">Lazertinib Administration on Day of PK Sampling for Cohort 3_2</t>
  </si>
  <si>
    <t xml:space="preserve">D:\Work\199_CRR\Custom Rave\61186372NSC2002\Reports\PK &amp; Immunogenicity Blood Sample for Amivantamab EOT_3</t>
  </si>
  <si>
    <t xml:space="preserve">PK &amp; Immunogenicity Blood Sample for Amivantamab (EOT)_3</t>
  </si>
  <si>
    <t xml:space="preserve">D:\Work\199_CRR\Custom Rave\61186372NSC2002\Reports\PK &amp; Immunogenicity Blood Sample for Amivantamab Predose_4</t>
  </si>
  <si>
    <t xml:space="preserve">PK &amp; Immunogenicity Blood Sample for Amivantamab (Predose)_4</t>
  </si>
  <si>
    <t xml:space="preserve">D:\Work\199_CRR\Custom Rave\61186372NSC2002\Reports\PK &amp; Immunogenicity Blood Sample for Amivantamab Unscheduled_5</t>
  </si>
  <si>
    <t xml:space="preserve">PK &amp; Immunogenicity Blood Sample for Amivantamab (Unscheduled)_5</t>
  </si>
  <si>
    <t xml:space="preserve">D:\Work\199_CRR\Custom Rave\61186372NSC2002\Reports\PK Blood Sample for Amivantamab 168h Postdose_6</t>
  </si>
  <si>
    <t xml:space="preserve">PK Blood Sample for Amivantamab (168h Postdose)_6</t>
  </si>
  <si>
    <t xml:space="preserve">D:\Work\199_CRR\Custom Rave\61186372NSC2002\Reports\PK Blood Sample for Amivantamab 336h Postdose_7</t>
  </si>
  <si>
    <t xml:space="preserve">PK Blood Sample for Amivantamab (336h Postdose)_7</t>
  </si>
  <si>
    <t xml:space="preserve">D:\Work\199_CRR\Custom Rave\61186372NSC2002\Reports\PK Blood Sample for Amivantamab 48h Postdose_8</t>
  </si>
  <si>
    <t xml:space="preserve">PK Blood Sample for Amivantamab (48h Postdose)_8</t>
  </si>
  <si>
    <t xml:space="preserve">D:\Work\199_CRR\Custom Rave\61186372NSC2002\Reports\PK Blood Sample for Amivantamab 8h Postdose_9</t>
  </si>
  <si>
    <t xml:space="preserve">PK Blood Sample for Amivantamab (8h Postdose)_9</t>
  </si>
  <si>
    <t xml:space="preserve">D:\Work\199_CRR\Custom Rave\61186372NSC2002\Reports\PK Blood Sample for Amivantamab 96h Postdose_10</t>
  </si>
  <si>
    <t xml:space="preserve">PK Blood Sample for Amivantamab (96h Postdose)_10</t>
  </si>
  <si>
    <t xml:space="preserve">D:\Work\199_CRR\Custom Rave\61186372NSC2002\Reports\PK Blood Sample for Amivantamab Predose_11</t>
  </si>
  <si>
    <t xml:space="preserve">PK Blood Sample for Amivantamab (Predose)_11</t>
  </si>
  <si>
    <t xml:space="preserve">D:\Work\199_CRR\Custom Rave\61186372NSC2002\Reports\Vital Signs_1</t>
  </si>
  <si>
    <t xml:space="preserve">Vital Signs</t>
  </si>
  <si>
    <t xml:space="preserve">Vital Signs_1</t>
  </si>
  <si>
    <t xml:space="preserve">D:\Work\199_CRR\Custom Rave\61186372NSC2002\Reports\Vital Signs Screening_2</t>
  </si>
  <si>
    <t xml:space="preserve">Vital Signs (Screening)_2</t>
  </si>
  <si>
    <t xml:space="preserve">D:\Work\199_CRR\Custom Rave\61186372NSC2002\Reports\Vital Signs Unscheduled_3</t>
  </si>
  <si>
    <t xml:space="preserve">Vital Signs (Unscheduled)_3</t>
  </si>
  <si>
    <t xml:space="preserve">D:\Work\199_CRR\Custom Rave\61186372NSC2002\Reports\Local Hematology_1</t>
  </si>
  <si>
    <t xml:space="preserve">Local labs</t>
  </si>
  <si>
    <t xml:space="preserve">Local Hematology_1</t>
  </si>
  <si>
    <t xml:space="preserve">D:\Work\199_CRR\Custom Rave\61186372NSC2002\Reports\Local Hematology Unscheduled_2</t>
  </si>
  <si>
    <t xml:space="preserve">Local Hematology (Unscheduled)_2</t>
  </si>
  <si>
    <t xml:space="preserve">D:\Work\199_CRR\Custom Rave\61186372NSC2002\Reports\Local Hematology_Coagulation Tests_3</t>
  </si>
  <si>
    <t xml:space="preserve">Local Hematology_Coagulation Tests_3</t>
  </si>
  <si>
    <t xml:space="preserve">D:\Work\199_CRR\Custom Rave\61186372NSC2002\Reports\Local Hematology_Coagulation Tests Uns_4</t>
  </si>
  <si>
    <t xml:space="preserve">Local Hematology_Coagulation Tests (Uns)_4</t>
  </si>
  <si>
    <t xml:space="preserve">D:\Work\199_CRR\Custom Rave\61186372NSC2002\Reports\Local Chemistry_1</t>
  </si>
  <si>
    <t xml:space="preserve">Local Chemistry_1</t>
  </si>
  <si>
    <t xml:space="preserve">D:\Work\199_CRR\Custom Rave\61186372NSC2002\Reports\Local Chemistry Screening_2</t>
  </si>
  <si>
    <t xml:space="preserve">Local Chemistry (Screening)_2</t>
  </si>
  <si>
    <t xml:space="preserve">D:\Work\199_CRR\Custom Rave\61186372NSC2002\Reports\Local Chemistry Unscheduled_3</t>
  </si>
  <si>
    <t xml:space="preserve">Local Chemistry (Unscheduled)_3</t>
  </si>
  <si>
    <t xml:space="preserve">D:\Work\199_CRR\Custom Rave\61186372NSC2002\Reports\Local Urinalysis_1</t>
  </si>
  <si>
    <t xml:space="preserve">Local Urinalysis_1</t>
  </si>
  <si>
    <t xml:space="preserve">D:\Work\199_CRR\Custom Rave\61186372NSC2002\Reports\Local Urinalysis Unscheduled_2</t>
  </si>
  <si>
    <t xml:space="preserve">Local Urinalysis (Unscheduled)_2</t>
  </si>
  <si>
    <t xml:space="preserve">D:\Work\199_CRR\Custom Rave\61186372NSC2002\Reports\Local Hematology_Coagulation Tests_1</t>
  </si>
  <si>
    <t xml:space="preserve">Local Hematology_Coagulation Tests_1</t>
  </si>
  <si>
    <t xml:space="preserve">D:\Work\199_CRR\Custom Rave\61186372NSC2002\Reports\Local Hematology_Coagulation Tests Uns_2</t>
  </si>
  <si>
    <t xml:space="preserve">Local Hematology_Coagulation Tests (Uns)_2</t>
  </si>
  <si>
    <t xml:space="preserve">D:\Work\199_CRR\Custom Rave\61186372NSC2002\Reports\Prophylactic AntiCoagulation therapy_3</t>
  </si>
  <si>
    <t xml:space="preserve">Prophylactic Anti-Coagulation therapy_3</t>
  </si>
  <si>
    <t xml:space="preserve">D:\Work\199_CRR\Custom Rave\61186372NSC2002\Reports\</t>
  </si>
  <si>
    <t xml:space="preserve">Submissions_UI</t>
  </si>
  <si>
    <t xml:space="preserve">Error: 
SE-Login Failed invalid OTP</t>
  </si>
  <si>
    <t xml:space="preserve">Findings_UI</t>
  </si>
  <si>
    <t xml:space="preserve">Error: 
Unable to attach the application</t>
  </si>
  <si>
    <t xml:space="preserve">SubjectDeviation</t>
  </si>
  <si>
    <t xml:space="preserve">Protocol</t>
  </si>
  <si>
    <t xml:space="preserve">Document Inventory Report - Country Level - Selected Country.xlsx</t>
  </si>
  <si>
    <t xml:space="preserve">1572-US</t>
  </si>
  <si>
    <t xml:space="preserve">Document Inventory Report - Country Level - Selected Country</t>
  </si>
  <si>
    <t xml:space="preserve">MVR and FUL</t>
  </si>
  <si>
    <t xml:space="preserve">IB</t>
  </si>
  <si>
    <t xml:space="preserve">VTMF Study</t>
  </si>
  <si>
    <t xml:space="preserve">Document Inventory Report - Study Level</t>
  </si>
  <si>
    <t xml:space="preserve">VTMF Country</t>
  </si>
  <si>
    <t xml:space="preserve">VTMF Site</t>
  </si>
  <si>
    <t xml:space="preserve">Document Inventory Report - Site Level for Selected Sites</t>
  </si>
  <si>
    <t xml:space="preserve">Document Study Report</t>
  </si>
  <si>
    <t xml:space="preserve">Protocol Version</t>
  </si>
  <si>
    <t xml:space="preserve">Protocol Document Number</t>
  </si>
  <si>
    <t xml:space="preserve">Document Country Report</t>
  </si>
  <si>
    <t xml:space="preserve">Approval Type</t>
  </si>
  <si>
    <t xml:space="preserve">Approval Document Name</t>
  </si>
  <si>
    <t xml:space="preserve">Approval Description</t>
  </si>
  <si>
    <t xml:space="preserve">Approval vTMF Document Number</t>
  </si>
  <si>
    <t xml:space="preserve">Document Site Report</t>
  </si>
  <si>
    <t xml:space="preserve">PI Signature Description</t>
  </si>
  <si>
    <t xml:space="preserve">PI signature vTMF Document Number</t>
  </si>
  <si>
    <t xml:space="preserve">Present in TCF (auditor to check)</t>
  </si>
  <si>
    <t xml:space="preserve">Protocol-Covid-19-Appendix-61186372NSC2002-769825</t>
  </si>
  <si>
    <t xml:space="preserve">Regulatory</t>
  </si>
  <si>
    <t xml:space="preserve">09-INTRADISCALRHGDF-5-03 Korea Regulatory notification of Annual trial status update-20110223</t>
  </si>
  <si>
    <t xml:space="preserve">PSP_Lim, SM, KOR V2_04Nov2022_04Nov2022</t>
  </si>
  <si>
    <t xml:space="preserve">Protocol-Amendment 4-61186372NSC2002-652953</t>
  </si>
  <si>
    <t xml:space="preserve">09-INTRADISCALRHGDF-5-03 Korea Regulatory notification of Annual trial status update-20110303</t>
  </si>
  <si>
    <t xml:space="preserve">PSP_Lim, SM, Amendment #1_04Nov2022_04Nov2022</t>
  </si>
  <si>
    <t xml:space="preserve">Protocol-Amend1_Track Changes-61186372NSC2002-823876</t>
  </si>
  <si>
    <t xml:space="preserve">09-INTRADISCALRHGDF-5-03 Korea FDA comment on PTR_20100120</t>
  </si>
  <si>
    <t xml:space="preserve">PRT agreement_Covid_KOR_Im,SM_05Sep2022</t>
  </si>
  <si>
    <t xml:space="preserve">Protocol-Amend 4-61186372NSC2002_ja</t>
  </si>
  <si>
    <t xml:space="preserve">09-INTRADISCALRHGDF-5-03 Korea FDA comment on PTR-response_20100308</t>
  </si>
  <si>
    <t xml:space="preserve">PRT agreement_KOR_V1_Im,SM_05Sep2022</t>
  </si>
  <si>
    <t xml:space="preserve">61186372NSC2002_Protocol_COVID-19 Appendix_ja</t>
  </si>
  <si>
    <t xml:space="preserve">09-INTRADISCALRHGDF-5-03 Korea Regulatory notification_LTM change_from JHL to YLS</t>
  </si>
  <si>
    <t xml:space="preserve">PRT agreement_Covid_Eng_Im,SM_05Sep2022</t>
  </si>
  <si>
    <t xml:space="preserve">Protocol-Summary of Drugs Used in the Clinical Trial-61186372NSC2002-847979</t>
  </si>
  <si>
    <t xml:space="preserve">09-INTRADISCALRHGDF-5-03 Korea Regulatory approval _initial</t>
  </si>
  <si>
    <t xml:space="preserve">PRT agreement_ENG_V1_Im,SM_05Sep2022</t>
  </si>
  <si>
    <t xml:space="preserve">Protocol-Amend 4-CHN 3-61186372NSC2002-830391</t>
  </si>
  <si>
    <t xml:space="preserve">09-INTRADISCALRHGDF-5-03 Korea Regulatory notification for OA and MRI discontinuation</t>
  </si>
  <si>
    <t xml:space="preserve">PSP_Lim, SM_KOR V6</t>
  </si>
  <si>
    <t xml:space="preserve">Protocol-Amend_Track Changes-61186372NSC2002-849008</t>
  </si>
  <si>
    <t xml:space="preserve">09-RHGDF-5-03 Korea Regulatory approval or notification_annual report_20Feb2012</t>
  </si>
  <si>
    <t xml:space="preserve">PSP_Lim, SM_ENG AMD 4/KOR-1</t>
  </si>
  <si>
    <t xml:space="preserve">TV-eFRM-10938_v2.0_61186372NSC2002_Protocol Clarification Communiction_Amendment 2</t>
  </si>
  <si>
    <t xml:space="preserve">09-RHGDF-5-03 Korea HA application-initial</t>
  </si>
  <si>
    <t xml:space="preserve">PRT agreement ENG_AMD3_Lim,SM_15Jun2023</t>
  </si>
  <si>
    <t xml:space="preserve">Protocol-Amend2_Track Changes-61186372NSC2002-949107</t>
  </si>
  <si>
    <t xml:space="preserve">09-RHGDF-5-03 Korea Regulatory approval_PRT amend3 (ver 4.0)_13Dec2011</t>
  </si>
  <si>
    <t xml:space="preserve">PRT agreement KOR_V4_Lim,SM_15Jun2023</t>
  </si>
  <si>
    <t xml:space="preserve">Protocol-Amend3_ESP-1-61186372NSC2002-943232</t>
  </si>
  <si>
    <t xml:space="preserve">09-RHGDF-5-03 Korea Regulatory notification_LTM change (YL Shin-&gt;HA Park)_18Jul2012</t>
  </si>
  <si>
    <t xml:space="preserve">PRT Agreement_ENG_Lim,SM_Amd2_17Mar2023</t>
  </si>
  <si>
    <t xml:space="preserve">Protocol-Amend_Track Changes-61186372NSC2002-958326</t>
  </si>
  <si>
    <t xml:space="preserve">09-RHGDF-5-03 Korea Regulatory approval or notification_IB 4.0_07Jan2013</t>
  </si>
  <si>
    <t xml:space="preserve">PRT Agreement_KOR_Lim,SM_Amd2_17Mar2023</t>
  </si>
  <si>
    <t xml:space="preserve">Protocol-Amend 2-CHN 2-Track Changes-61186372NSC2002-973415</t>
  </si>
  <si>
    <t xml:space="preserve">09-RHGDF-5-03 Korea Regulatory approval or notification_annual report_25Feb2013</t>
  </si>
  <si>
    <t xml:space="preserve">PRT agreement KOR_V5_Lim,SM_20Nov2023</t>
  </si>
  <si>
    <t xml:space="preserve">Protocol-Amend_Track Changes-61186372NSC2002-1036904</t>
  </si>
  <si>
    <t xml:space="preserve">Trial3_Certificate of Medical Device for Testing_Seoul No. 21-2380_CoT_02Aug2021</t>
  </si>
  <si>
    <t xml:space="preserve">PRT agreement ENG_AMD4_Lim,SM_20Nov2023</t>
  </si>
  <si>
    <t xml:space="preserve">Protocol-Amend_Track Changes-61186372NSC2002-1060806</t>
  </si>
  <si>
    <t xml:space="preserve">Trial3_Certificate of Medical Device for Testing_Seoul No. 21-2381_CoT_02Aug2021</t>
  </si>
  <si>
    <t xml:space="preserve">PRT agreement ENG_Cho, BC_Covid-19_28Jul2022</t>
  </si>
  <si>
    <t xml:space="preserve">Protocol-Amend3 vs Amend3_ESP1_Track Changes-61186372NSC2002-1095133</t>
  </si>
  <si>
    <t xml:space="preserve">Trial3_IND amd 2 (PA2 and ICFs)_Approval_Kor</t>
  </si>
  <si>
    <t xml:space="preserve">PRT agreement ENG_Cho, BC_Original(JNJ-61186372)_28Jul2022</t>
  </si>
  <si>
    <t xml:space="preserve">Protocol-Amend3_ESP-1_Track Changes-61186372NSC2002-1094999</t>
  </si>
  <si>
    <t xml:space="preserve">Trial3_IND amd 2 (PA2 and ICFs)_Approval_CoT</t>
  </si>
  <si>
    <t xml:space="preserve">Protocol-Amend_Track Changes-61186372NSC2002-1161735</t>
  </si>
  <si>
    <t xml:space="preserve">Trial3_IND amd 2 (PA2 and ICFs)_Approval_Eng</t>
  </si>
  <si>
    <t xml:space="preserve">Protocol-FD-61186372NSC2002-652953_Translation_zh-Hans</t>
  </si>
  <si>
    <t xml:space="preserve">Protocol Amendment 04_12Jun2023_CA approval letter_12 Sep 2023_KOR</t>
  </si>
  <si>
    <t xml:space="preserve">Protocol-Amend 1-CHN 1-61186372NSC2002-830391_Translation_zh-Hans</t>
  </si>
  <si>
    <t xml:space="preserve">Protocol Amendment 04_12Jun2023_CA approval letter_12 Sep 2023</t>
  </si>
  <si>
    <t xml:space="preserve">Protocol-Amend 3-CHN 3-61186372NSC2002-830391_Translation_zh-Hans</t>
  </si>
  <si>
    <t xml:space="preserve">Protocol Amendment 04_12Jun2023_CA approval letter_12 Sep 2023_COT</t>
  </si>
  <si>
    <t xml:space="preserve">Protocol-Amend4_EEA-1-61186372NSC2002-1165532</t>
  </si>
  <si>
    <t xml:space="preserve">Trial3_Certificate of Medical Device for Testing_Seoul No. 21-1457_Import Approval for LabKits_13May2021_Kor</t>
  </si>
  <si>
    <t xml:space="preserve">Protocol-Amend3_ESP-1 VS Amend4_EEA-1 Track Changes-61186372NSC2002-1172368</t>
  </si>
  <si>
    <t xml:space="preserve">Trial3_Certificate of Medical Device for Testing_Seoul No. 21-1457_Import Approval for LabKits_13May2021_Eng</t>
  </si>
  <si>
    <t xml:space="preserve">Protocol-Amendment 3 VS Amend4_EEA-1-Track Changes-61186372NSC2002-1172370</t>
  </si>
  <si>
    <t xml:space="preserve">Trial3_Certificate of Medical Device for Testing_Seoul No. 21-1456_Import Approval for PreservCyt Solution_13May2021_Eng</t>
  </si>
  <si>
    <t xml:space="preserve">Protocol-Amend 2-CHN 2-61186372NSC2002-830391_Translation_zh-Hans</t>
  </si>
  <si>
    <t xml:space="preserve">Trial3_Certificate of Medical Device for Testing_Seoul No. 21-1456_Import Approval for PreservCyt Solution_13May2021_Kor</t>
  </si>
  <si>
    <t xml:space="preserve">Protocol-Amend 3-CHN-3 versus Amend 4- CHN-3_Track Changes-61186372NSC2002-1185141</t>
  </si>
  <si>
    <t xml:space="preserve">Trial3_Initial IND_Approval_Kor</t>
  </si>
  <si>
    <t xml:space="preserve">REDACTED_Protocol-Amend4_EEA-1-61186372NSC2002-1165532_1211513</t>
  </si>
  <si>
    <t xml:space="preserve">Trial3_Initial IND_Approval_Eng</t>
  </si>
  <si>
    <t xml:space="preserve">Protocol Amend PA4_KOR-1-61186372NSC2002-1245641</t>
  </si>
  <si>
    <t xml:space="preserve">Trial3_Initial IND_Approval_CoT</t>
  </si>
  <si>
    <t xml:space="preserve">Protocol-Amend 4 Versus Amend PA4_KOR-1-Track Changes-61186372NSC2002-1259242</t>
  </si>
  <si>
    <t xml:space="preserve">Trial3_Certificate of Medical Device for Testing_Seoul No. 21-1457_CoT_18May2021</t>
  </si>
  <si>
    <t xml:space="preserve">Protocol-Amend 4-CHN 3-61186372NSC2002-830391_Translation_zh-Hans</t>
  </si>
  <si>
    <t xml:space="preserve">Trial3_Certificate of Medical Device for Testing_Seoul No. 21-1456_CoT_18May2021</t>
  </si>
  <si>
    <t xml:space="preserve">Trial3_Certificate of Medical Device for Testing_Seoul No. 21-2298_Import Approval for 10mL Syringe_19Jul2021_Kor</t>
  </si>
  <si>
    <t xml:space="preserve">Trial3_Certificate of Medical Device for Testing_Seoul No. 21-2298_Import Approval for 10mL Syringe_19Jul2021_Eng</t>
  </si>
  <si>
    <t xml:space="preserve">Trial3_KR_IND amendment 1 (PA1)_MFDS approval_CoT</t>
  </si>
  <si>
    <t xml:space="preserve">Trial3_KR_IND amendment 1 (PA1)_MFDS approval_Eng</t>
  </si>
  <si>
    <t xml:space="preserve">Trial3_KR_IND amendment 1 (PA1)_MFDS approval_Kor</t>
  </si>
  <si>
    <t xml:space="preserve">Trial3_Certificate of Medical Device for Testing_Seoul No. 21-2298_CoT_21Jul2021</t>
  </si>
  <si>
    <t xml:space="preserve">Trial3_Import License_Infusion set_Kor</t>
  </si>
  <si>
    <t xml:space="preserve">Trial3_Import License_Infusion set_Eng</t>
  </si>
  <si>
    <t xml:space="preserve">Trial3_Import License_Infusion set_CoT</t>
  </si>
  <si>
    <t xml:space="preserve">Trial3_IL approval_Lab kits_amendment_Kor</t>
  </si>
  <si>
    <t xml:space="preserve">Trial3_IL approval_Lab kits_amendment_Eng</t>
  </si>
  <si>
    <t xml:space="preserve">Trial3_IL approval_Lab kits_amendment_CoT</t>
  </si>
  <si>
    <t xml:space="preserve">Trial3_Certificate of Medical Device for Testing_Seoul No. 21-1600_Import Approval for Needle PrecisionGlide_25May2021_Kor</t>
  </si>
  <si>
    <t xml:space="preserve">Trial3_Certificate of Medical Device for Testing_Seoul No. 21-1599_Import Approval for Infusion pump_25May2021_Kor</t>
  </si>
  <si>
    <t xml:space="preserve">Trial3_Certificate of Medical Device for Testing_Seoul No. 21-1600_Import Approval for Needle PrecisionGlide_25May2021_Eng</t>
  </si>
  <si>
    <t xml:space="preserve">Trial3_Certificate of Medical Device for Testing_Seoul No. 21-1599_Import Approval for Infusion pump_25May2021_Eng</t>
  </si>
  <si>
    <t xml:space="preserve">Trial3_Certificate of Medical Device for Testing_Seoul No. 21-1609_Import Approval for Lubricant_26May2021_Kor</t>
  </si>
  <si>
    <t xml:space="preserve">Trial3_Certificate of Medical Device for Testing_Seoul No. 21-1608_Import Approval for Forceps_26May2021_Kor</t>
  </si>
  <si>
    <t xml:space="preserve">Trial3_Certificate of Medical Device for Testing_Seoul No. 21-1609_Import Approval for Lubricant_26May2021_Eng</t>
  </si>
  <si>
    <t xml:space="preserve">Trial3_Certificate of Medical Device for Testing_Seoul No. 21-1608_Import Approval for Forceps_26May2021_Eng</t>
  </si>
  <si>
    <t xml:space="preserve">Trial3_Certificate of Medical Device for Testing_Seoul No. 21-2380_Import Approval for Syringe 20mL_27Jul2021_Eng</t>
  </si>
  <si>
    <t xml:space="preserve">Trial3_Certificate of Medical Device for Testing_Seoul No. 21-2380_Import Approval for Syringe 20mL_27Jul2021_Kor</t>
  </si>
  <si>
    <t xml:space="preserve">Trial3_Certificate of Medical Device for Testing_Seoul No. 21-2381_Import Approval for Hypodermic Needle_27Jul2021_Kor</t>
  </si>
  <si>
    <t xml:space="preserve">Trial3_Certificate of Medical Device for Testing_Seoul No. 21-2381_Import Approval for Hypodermic Needle_27Jul2021_Eng</t>
  </si>
  <si>
    <t xml:space="preserve">Import License_Sry10 305959_initial</t>
  </si>
  <si>
    <t xml:space="preserve">Trial3_Certificate of Medical Device for Testing_Seoul No. 21-1600_CoT_31May2021</t>
  </si>
  <si>
    <t xml:space="preserve">Trial3_Certificate of Medical Device for Testing_Seoul No. 21-1599_CoT_31May2021</t>
  </si>
  <si>
    <t xml:space="preserve">Trial3_Certificate of Medical Device for Testing_Seoul No. 21-1608_CoT_31May2021</t>
  </si>
  <si>
    <t xml:space="preserve">Trial3_Certificate of Medical Device for Testing_Seoul No. 21-1609_CoT_31May2021</t>
  </si>
  <si>
    <t xml:space="preserve">RA Approval letter_Protocol Amendment 02_CoT</t>
  </si>
  <si>
    <t xml:space="preserve">RA Approval letter_Protocol Amendment 02_Eng</t>
  </si>
  <si>
    <t xml:space="preserve">RA Approval letter_Protocol Amendment 02_KOR</t>
  </si>
  <si>
    <t xml:space="preserve">MDFS Approval Letter_PA1 Amd 01, ICF</t>
  </si>
  <si>
    <t xml:space="preserve">MFDS Aproval_Amnd 1(PA1,ICF)</t>
  </si>
  <si>
    <t xml:space="preserve">MFDS approval_Amd1 (PA1, ICF)_RA approval letter (local)</t>
  </si>
  <si>
    <t xml:space="preserve">MDFS Notification_Site addition and PI change</t>
  </si>
  <si>
    <t xml:space="preserve">IL Approval Letter - Infusion set - Kor</t>
  </si>
  <si>
    <t xml:space="preserve">IL Approval Letter - Infusion set - Eng</t>
  </si>
  <si>
    <t xml:space="preserve">IL Approval Letter - Infusion set - CoT</t>
  </si>
  <si>
    <t xml:space="preserve">IL Approval Letter - Syringe (305959) - Kor</t>
  </si>
  <si>
    <t xml:space="preserve">IL Approval Letter - Syringe (305959) - Eng</t>
  </si>
  <si>
    <t xml:space="preserve">IL Approval Letter - Syringe (305959) - CoT</t>
  </si>
  <si>
    <t xml:space="preserve">IL Approval Letter - Lubricating Jelly - Kor</t>
  </si>
  <si>
    <t xml:space="preserve">IL Approval Letter - Lubricating Jelly - Eng</t>
  </si>
  <si>
    <t xml:space="preserve">IL Approval Letter - Lubricating Jelly - CoT</t>
  </si>
  <si>
    <t xml:space="preserve">IL Approval Letter - Syringe (302830) - Kor</t>
  </si>
  <si>
    <t xml:space="preserve">IL Approval Letter - Syringe (302830) - Eng</t>
  </si>
  <si>
    <t xml:space="preserve">IL Approval Letter - Syringe (302830) - CoT</t>
  </si>
  <si>
    <t xml:space="preserve">IL Approval Letter - Needle (304827) - Kor</t>
  </si>
  <si>
    <t xml:space="preserve">IL Approval Letter - Needle (304827) - Eng</t>
  </si>
  <si>
    <t xml:space="preserve">IL Approval Letter - Needle (304827) - CoT</t>
  </si>
  <si>
    <t xml:space="preserve">IL Approval Letter - Lab kits - Kor</t>
  </si>
  <si>
    <t xml:space="preserve">IL Approval Letter - Lab kits - Eng</t>
  </si>
  <si>
    <t xml:space="preserve">IL Approval Letter - Lab kits - CoT</t>
  </si>
  <si>
    <t xml:space="preserve">IL Approval Letter - Infusion pump - Kor</t>
  </si>
  <si>
    <t xml:space="preserve">IL Approval Letter - Infusion pump - Eng</t>
  </si>
  <si>
    <t xml:space="preserve">IL Approval Letter - Infusion pump - CoT</t>
  </si>
  <si>
    <t xml:space="preserve">IL Approval Letter - Grasping Forcep - Kor</t>
  </si>
  <si>
    <t xml:space="preserve">IL Approval Letter - Grasping Forcep - Eng</t>
  </si>
  <si>
    <t xml:space="preserve">IL Approval Letter - Grasping Forcep - CoT</t>
  </si>
  <si>
    <t xml:space="preserve">17000139BLC2002_IL approval_lab kits renewal_Kor</t>
  </si>
  <si>
    <t xml:space="preserve">17000139BLC2002_IL approval_lab kits renewal_Eng</t>
  </si>
  <si>
    <t xml:space="preserve">17000139BLC2002_IL approval_lab kits renewal_CoT</t>
  </si>
  <si>
    <t xml:space="preserve">Import License - Infusion pump 8713050 initial - 01Jul2021</t>
  </si>
  <si>
    <t xml:space="preserve">Import License - Lubricating Jelly initial - 01Jul2021</t>
  </si>
  <si>
    <t xml:space="preserve">17000139BLC3001_KR_Import License_ Forceps_initial_02Aug2021_Kor</t>
  </si>
  <si>
    <t xml:space="preserve">Import License_Forceps_initial_Eng</t>
  </si>
  <si>
    <t xml:space="preserve">Import License_Forceps_initial_CoT</t>
  </si>
  <si>
    <t xml:space="preserve">17000139BLC3001_Initial IND_Approval_Kor</t>
  </si>
  <si>
    <t xml:space="preserve">17000139BLC3001_Initial IND_Approval_Eng</t>
  </si>
  <si>
    <t xml:space="preserve">17000139BLC3001_Initial IND_Approval_CoT</t>
  </si>
  <si>
    <t xml:space="preserve">Import License - Hypodermic Needle initial - 09Jul2021</t>
  </si>
  <si>
    <t xml:space="preserve">Import License - Syr 10ml 305959 initial - 09Jul2021</t>
  </si>
  <si>
    <t xml:space="preserve">17000139BLC3001_KR_Import License_Syringe 10ml 302995_initial_14Jul2021</t>
  </si>
  <si>
    <t xml:space="preserve">17000139BLC3001_KR_Import License_ Syr 10ml 302995_initial_ 14Jul2021_Eng</t>
  </si>
  <si>
    <t xml:space="preserve">Import License - Syr10 302995 - initial, CoT</t>
  </si>
  <si>
    <t xml:space="preserve">Import License - Infusion Set, initial - 15Jul2021</t>
  </si>
  <si>
    <t xml:space="preserve">17000139BLC3001_IND amd1 (PA2)_Approval_Kor</t>
  </si>
  <si>
    <t xml:space="preserve">17000139BLC3001_IND amd1 (PA2)_Approval_Eng</t>
  </si>
  <si>
    <t xml:space="preserve">17000139BLC3001_IND amd1 (PA2)_Approval_CoT</t>
  </si>
  <si>
    <t xml:space="preserve">17000139BLC3001_KR_IND amd3 (PA3)_Approval_Kor</t>
  </si>
  <si>
    <t xml:space="preserve">17000139BLC3001_KR_IND amd3 (PA3)_Approval_Eng</t>
  </si>
  <si>
    <t xml:space="preserve">17000139BLC3001_KR_IND amd3 (PA3)_Approval_CoT</t>
  </si>
  <si>
    <t xml:space="preserve">17000139BLC3001_KR_Import License_Lab kits_initial_CoT</t>
  </si>
  <si>
    <t xml:space="preserve">17000139BLC3001_KR_Import License_Lab kits_initial_Eng</t>
  </si>
  <si>
    <t xml:space="preserve">17000139BLC3001_KR_Import License_Lab kits_initial_Kor</t>
  </si>
  <si>
    <t xml:space="preserve">Import License - Syr 20mL initial - 23Jun2021</t>
  </si>
  <si>
    <t xml:space="preserve">17000139BLC3001_KR_PA4_Application form_KOR</t>
  </si>
  <si>
    <t xml:space="preserve">17000139BLC3001_KR_PA4_AoR_KOR</t>
  </si>
  <si>
    <t xml:space="preserve">CA Notification Report_IB Edition 8.0_Kor+Eng+CoT</t>
  </si>
  <si>
    <t xml:space="preserve">MFDS approval letter_PA2/KOR protocol V3_10 Aug 2023</t>
  </si>
  <si>
    <t xml:space="preserve">PA1_approved</t>
  </si>
  <si>
    <t xml:space="preserve">17000139BLC3002_HA approval_26Aug2022</t>
  </si>
  <si>
    <t xml:space="preserve">Regulatory Approval_06 Feb 2024</t>
  </si>
  <si>
    <t xml:space="preserve">212082BCA2001 Korea Regulatory approval Letter_ Initial_Eng synosis</t>
  </si>
  <si>
    <t xml:space="preserve">212082BCA2001 Korea Regulatory submission letter_Initial_Eng synosis</t>
  </si>
  <si>
    <t xml:space="preserve">212082BCA2001 Korea Regulatory submission letter_Initial</t>
  </si>
  <si>
    <t xml:space="preserve">212082BCA2001 Korea Regulatory notification_FPI</t>
  </si>
  <si>
    <t xml:space="preserve">212082BCA2001 Korea Regulatory approval_ Initial</t>
  </si>
  <si>
    <t xml:space="preserve">212082BCA2001 Korea Regulatory notification_IB edit 9</t>
  </si>
  <si>
    <t xml:space="preserve">212082BCA2001 Korea Regulatory approval_13Nov2012 (Submitted 17Oct2012)</t>
  </si>
  <si>
    <t xml:space="preserve">212082BCA2001 Korea Regulatory submission letter_22May2013</t>
  </si>
  <si>
    <t xml:space="preserve">212082BCA2001 Korea Regulatory notification_Annual_20130226</t>
  </si>
  <si>
    <t xml:space="preserve">212082BCA2001 Korea Regulatory notification for DRC feedback_18Mar2013</t>
  </si>
  <si>
    <t xml:space="preserve">212082BCA2001 Korea Regulatory approval _deficiency letter from KFDA_10Jan2012</t>
  </si>
  <si>
    <t xml:space="preserve">212082BCA2001 Korea Regulatory approval _final response to Deficiency letter from KRDA_27Jan2012</t>
  </si>
  <si>
    <t xml:space="preserve">212082BCA2001 Korea Regulatory approval for protocol INT-5 (Korean v3.0 &amp; ICF v3.1)_ 24Jun2013</t>
  </si>
  <si>
    <t xml:space="preserve">212082BCA2001 Korea Regulatory notification for IB edition 10_ 05Spe2013</t>
  </si>
  <si>
    <t xml:space="preserve">212082BCA2001 Korea Regulatory 1st subkmission package attachement_23Dec2011</t>
  </si>
  <si>
    <t xml:space="preserve">212082BCA2001 Korea Regulatory Annual notification 24Feb2014</t>
  </si>
  <si>
    <t xml:space="preserve">212082BCA2001 Korea Regulatory notification for FPI_09May2012</t>
  </si>
  <si>
    <t xml:space="preserve">212082BCA2001 Korea Regulatory notification for IB addendum 1 to IB edition 10 _ 03Feb2014</t>
  </si>
  <si>
    <t xml:space="preserve">212082BCA2001 Korea Regulatory notification for IB edit 9_ 11May2012</t>
  </si>
  <si>
    <t xml:space="preserve">212082BCA2001 Korea Regulatory notification for PI change_site 82003 27Dec2012</t>
  </si>
  <si>
    <t xml:space="preserve">212082BCA2001 Korea Regulatory approval letter for IMPD update ver 8_ 14Mar2014</t>
  </si>
  <si>
    <t xml:space="preserve">212082BCA2001 Korea Regulatory notification_ PI change_site 82001</t>
  </si>
  <si>
    <t xml:space="preserve">212082BCA2001 Korea Regulatory approval for protocol INT-6 (Korean v4.0 &amp; ICF v4.1)_ 31Mar2014</t>
  </si>
  <si>
    <t xml:space="preserve">212082PCR2007 Korea Regulatory notification_IB version 10.0</t>
  </si>
  <si>
    <t xml:space="preserve">212082PCR2007 Korea Regulatory notification_#1_14JAN2011</t>
  </si>
  <si>
    <t xml:space="preserve">212082PCR2007 Korea Regulatory approval_#1_29MAR2011</t>
  </si>
  <si>
    <t xml:space="preserve">212082PCR2007 Korea Regulatory notification_#2_01JUN2011</t>
  </si>
  <si>
    <t xml:space="preserve">212082PCR2007 Korea Regulatory approval_#2_16JUN2011</t>
  </si>
  <si>
    <t xml:space="preserve">212082PCR2007 Korea Regulatory notification_#3_26SEP2011</t>
  </si>
  <si>
    <t xml:space="preserve">212082PCR2007 Korea Regulatory approval_#3_25OCT2011</t>
  </si>
  <si>
    <t xml:space="preserve">212082PCR2007 Korea Regulatory notification_#7_27JUL2012</t>
  </si>
  <si>
    <t xml:space="preserve">212082PCR2007 Korea Regulatory notification_first subject enrolled</t>
  </si>
  <si>
    <t xml:space="preserve">212082PCR2007 Korea Regulatory notification_Addtion of sites_26Feb2013</t>
  </si>
  <si>
    <t xml:space="preserve">212082PCR2007 Korea Regulatory notification_Anual report_26Feb2013</t>
  </si>
  <si>
    <t xml:space="preserve">212082PCR2007 Korea Regulatory notification_Addendum 1 to IB Ed 10_04Feb2014</t>
  </si>
  <si>
    <t xml:space="preserve">212082PCR2007 Korea Regulatory approval or notification_SUSAR Report_14May2012</t>
  </si>
  <si>
    <t xml:space="preserve">212082PCR2007 Korea Regulatory approval or notification_SUSAR Report_24May2012</t>
  </si>
  <si>
    <t xml:space="preserve">212082PCR2007 Korea Regulatory approval or notification_SUSAR Report_01Jun2012</t>
  </si>
  <si>
    <t xml:space="preserve">212082PCR2007 Korea Regulatory approval or notification_SUSAR Report_04Jun2012</t>
  </si>
  <si>
    <t xml:space="preserve">212082PCR2007 Korea Regulatory approval or notification_SUSAR Report_03Jul2012</t>
  </si>
  <si>
    <t xml:space="preserve">212082PCR2007 Korea Regulatory approval or notification_SUSAR Report_05Jul2012</t>
  </si>
  <si>
    <t xml:space="preserve">212082PCR2007 Korea Regulatory approval or notification_SUSAR Report_09Jul2012</t>
  </si>
  <si>
    <t xml:space="preserve">212082PCR2007 Korea Regulatory approval or notification_SUSAR Report_23Jul2012</t>
  </si>
  <si>
    <t xml:space="preserve">212082PCR2007 Korea Regulatory approval or notification_SUSAR Report_26Jul2012</t>
  </si>
  <si>
    <t xml:space="preserve">212082PCR2007 Korea Regulatory approval or notification_SUSAR Report_02Aug2012</t>
  </si>
  <si>
    <t xml:space="preserve">212082PCR2007 Korea Regulatory approval or notification_SUSAR Report_22Aug2012</t>
  </si>
  <si>
    <t xml:space="preserve">212082PCR2007 Korea Regulatory approval or notification_SUSAR Report_28Aug2012</t>
  </si>
  <si>
    <t xml:space="preserve">212082PCR2007 Korea Regulatory approval or notification_SUSAR Report_14Sep2012</t>
  </si>
  <si>
    <t xml:space="preserve">212082PCR2007 Korea Regulatory approval or notification_SUSAR Report_01Nov2012</t>
  </si>
  <si>
    <t xml:space="preserve">212082PCR2007 Korea Regulatory approval or notification_KFDA official letter for lab kit_05Dec2012</t>
  </si>
  <si>
    <t xml:space="preserve">212082PCR2007 Korea Regulatory approval or notification_KFDA official letter for lab kit_08Nov2013</t>
  </si>
  <si>
    <t xml:space="preserve">212082PCR2007 Korea Regulatory approval or notification_SUSAR Report_07Nov2012</t>
  </si>
  <si>
    <t xml:space="preserve">212082PCR2007 Korea Regulatory approval or notification_SUSAR Report_02May2013</t>
  </si>
  <si>
    <t xml:space="preserve">212082PCR2007 Korea Regulatory approval or notification_SUSAR Report_06May2013</t>
  </si>
  <si>
    <t xml:space="preserve">212082PCR2007 Korea Regulatory approval or notification_SUSAR Report_20May2013</t>
  </si>
  <si>
    <t xml:space="preserve">212082PCR2007 Korea Regulatory approval or notification_SUSAR Report_20Jun2013</t>
  </si>
  <si>
    <t xml:space="preserve">212082PCR2007 Korea Regulatory approval or notification_SUSAR Report_05Jul2013</t>
  </si>
  <si>
    <t xml:space="preserve">212082PCR2007 Korea Regulatory approval or notification_SUSAR Report_15Jul2013</t>
  </si>
  <si>
    <t xml:space="preserve">212082PCR2007 Korea Regulatory approval or notification_SUSAR Report_26Aug2013</t>
  </si>
  <si>
    <t xml:space="preserve">212082PCR2007 Korea Regulatory approval or notification_SUSAR Report_23Dec2013</t>
  </si>
  <si>
    <t xml:space="preserve">212082PCR2007 Korea Regulatory approval or notification</t>
  </si>
  <si>
    <t xml:space="preserve">212082PCR2007 Korea Regulatory approval_Approval letter_Korean protocol ver 5.0_07May2014</t>
  </si>
  <si>
    <t xml:space="preserve">212082PCR2007 Korea Regulatory approval_Approval letter_Korean protocol ver 6.0_15Oct2014</t>
  </si>
  <si>
    <t xml:space="preserve">212082PCR3001 Korea Regulatory approval letter_02Aug2012</t>
  </si>
  <si>
    <t xml:space="preserve">212082PCR3001 Korea Regulatory 2nd submission letter</t>
  </si>
  <si>
    <t xml:space="preserve">212082PCR3001 Korea Regulatory initial submission letter</t>
  </si>
  <si>
    <t xml:space="preserve">212082PCR3001 Korea Regulatory approval letter_01Jun2012</t>
  </si>
  <si>
    <t xml:space="preserve">212082PCR3001 Korea Regulatory approval or notification_03Sep2013</t>
  </si>
  <si>
    <t xml:space="preserve">212082PCR3001 Korea Regulatory 2nd submission attachment</t>
  </si>
  <si>
    <t xml:space="preserve">212082PCR3001 Korea Regulatory approval or notification_26Feb2013</t>
  </si>
  <si>
    <t xml:space="preserve">212082PCR3001 Korea Regulatory approval or notification_18Feb2014</t>
  </si>
  <si>
    <t xml:space="preserve">212082PCR3001 Korea Regulatory submission and approval letter_IMPD change_16Jan2014</t>
  </si>
  <si>
    <t xml:space="preserve">212082PCR3001 Korea Regulatory approval or notification_10JMar2014</t>
  </si>
  <si>
    <t xml:space="preserve">212082PCR3001 Korea Regulatory initial submission attachment</t>
  </si>
  <si>
    <t xml:space="preserve">212082PCR3001 Korea Regulatory approval or notification_11Nov2012</t>
  </si>
  <si>
    <t xml:space="preserve">212082PCR3001 Korea Regulatory guideline regarding reported dicuments</t>
  </si>
  <si>
    <t xml:space="preserve">212082PCR3001 Korea Regulatory submission letter (IB edition 11)_01Oct2014</t>
  </si>
  <si>
    <t xml:space="preserve">212082PCR3001 Korea Regulatory approval  amendment</t>
  </si>
  <si>
    <t xml:space="preserve">212082PCR3001 Korea Regulatory approval or notification_11Feb2015</t>
  </si>
  <si>
    <t xml:space="preserve">212082PCR3001 Korea Regulatory approval or notification (closure report)_15Jan2015</t>
  </si>
  <si>
    <t xml:space="preserve">212082PCR3001 Korea Regulatory approval or notification(IB 11addendum)_24Dec2014</t>
  </si>
  <si>
    <t xml:space="preserve">212082PCR3001 Korea Regulatory close report attachment_15Jan2015</t>
  </si>
  <si>
    <t xml:space="preserve">212082PCR3011_HA approval_#16_addition of testing site Phast_20151105</t>
  </si>
  <si>
    <t xml:space="preserve">212082PCR3011 Korea Regulatory approval_IMPD ver8_20140314</t>
  </si>
  <si>
    <t xml:space="preserve">212082PCR3011 Korea Regulatory approval_expiry date 24months_20170921</t>
  </si>
  <si>
    <t xml:space="preserve">212082PCR3011 Korea Regulatory approval _17OCT2012</t>
  </si>
  <si>
    <t xml:space="preserve">MFDS Approval letter_IMPD update_AA&amp;placebo_25Jun2014_INT-2_25Sep2014</t>
  </si>
  <si>
    <t xml:space="preserve">212082PCR3011 Korea Regulatory approval_initial approval_full doc_13Nov2012</t>
  </si>
  <si>
    <t xml:space="preserve">212082PCR3011 Korea Regulatory approval notification_INT-1_08May2013</t>
  </si>
  <si>
    <t xml:space="preserve">Progress Report_28Aug2021</t>
  </si>
  <si>
    <t xml:space="preserve">HA approval letter_PRT5.0_20170511</t>
  </si>
  <si>
    <t xml:space="preserve">26866138LYM2034 Korea Regulatory approval or notification</t>
  </si>
  <si>
    <t xml:space="preserve">26866138LYM2034 Korea Regulatory Submission confirmation letter_PRT2.0&amp;labelling site</t>
  </si>
  <si>
    <t xml:space="preserve">26866138LYM2034 Korea Regulatory Submission screen05</t>
  </si>
  <si>
    <t xml:space="preserve">26866138LYM2034 Korea Regulatory submission_attach05_CertificateofEUGMPcomplianceAllentownUSA.pdf</t>
  </si>
  <si>
    <t xml:space="preserve">26866138LYM2034 Korea Regulatory submission_attach05_CertificateofEUGMPcomplianceFisherAllschwilSwitzerland.pdf</t>
  </si>
  <si>
    <t xml:space="preserve">26866138LYM2034 Korea Regulatory submission_attach05_CertificateofEUGMPcomplianceFisherIndia.pdf</t>
  </si>
  <si>
    <t xml:space="preserve">26866138LYM2034 Korea Regulatory submission_attach05_GMPcomplianceBeerse_EDMS-ERI-8911271</t>
  </si>
  <si>
    <t xml:space="preserve">26866138LYM2034 Korea Regulatory submission_attach05_HAsubmission letter</t>
  </si>
  <si>
    <t xml:space="preserve">26866138LYM2034 Korea Regulatory submission_attach05_JNJManufacturingMHRALicenceMIAIMPv13_20100201.pdf</t>
  </si>
  <si>
    <t xml:space="preserve">26866138LYM2034 _attach05_KOR_LYM-2034_CS_KOR_ICFVer2.0_17Aug2010</t>
  </si>
  <si>
    <t xml:space="preserve">26866138LYM2034 Korea Regulatory submission_attach05_coverletter</t>
  </si>
  <si>
    <t xml:space="preserve">26866138LYM2034 Korea Regulatory submission_attach05_CS engICF2.0_17Aug2010</t>
  </si>
  <si>
    <t xml:space="preserve">26866138LYM2034 Korea Regulatory submission_attach05_manufacture method</t>
  </si>
  <si>
    <t xml:space="preserve">26866138LYM2034 Korea Regulatory submission_attach05_manufacturinglicenseShortvers</t>
  </si>
  <si>
    <t xml:space="preserve">26866138LYM2034 Korea Regulatory submission_attach05_Summary of protocol</t>
  </si>
  <si>
    <t xml:space="preserve">26866138LYM2034 Korea Regulatory submission_attach05_Table02_ICFchange</t>
  </si>
  <si>
    <t xml:space="preserve">26866138LYM2034 Korea Regulatory submission_attach05_Table02_prt changes</t>
  </si>
  <si>
    <t xml:space="preserve">26866138LYM2034 Korea Regulatory submission_attach05_Velcade info</t>
  </si>
  <si>
    <t xml:space="preserve">26866138LYM2034 Korea Regulatory submission_attach05_ENG_26866138-LYM2034_INT-1</t>
  </si>
  <si>
    <t xml:space="preserve">26866138LYM2034 Korea Regulatory submissionletter_prt2.0&amp;labelling site</t>
  </si>
  <si>
    <t xml:space="preserve">26866138LYM2034 Korea Regulatory Submission05_attached_Kor_Protocol 26866138LYM2034 INT-1</t>
  </si>
  <si>
    <t xml:space="preserve">26866138LYM2034 Korea Regulatory approval_PRTandICF2.0</t>
  </si>
  <si>
    <t xml:space="preserve">26866138LYM2034 Korea Regulatory approval or notification_IB15 addendum_02AUG2012</t>
  </si>
  <si>
    <t xml:space="preserve">26866138LYM2034 Korea Regulatory notification_end of study</t>
  </si>
  <si>
    <t xml:space="preserve">26866138LYM2034 Korea Regulatory notification_#11Vincristine_Italy_30Jun2011</t>
  </si>
  <si>
    <t xml:space="preserve">26866138LYM2034 Korea Regulatory notification_Attach#11_SmPC_Italy</t>
  </si>
  <si>
    <t xml:space="preserve">26866138LYM2034 Korea Regulatory  notification_Attach#11_SmPC_Eng</t>
  </si>
  <si>
    <t xml:space="preserve">26866138LYM2034 Korea Regulatory notification_#13_Letter for Interim analysis to invs</t>
  </si>
  <si>
    <t xml:space="preserve">26866138LYM2034 Korea Regulatory notification_#13_KFDA notification letter</t>
  </si>
  <si>
    <t xml:space="preserve">26866138LYM2034 Korea Regulatory notification_#13_IB14 addendum1</t>
  </si>
  <si>
    <t xml:space="preserve">26866138LYM2034 Korea Regulatory approval_#01_Eng</t>
  </si>
  <si>
    <t xml:space="preserve">26866138LYM2034 Korea Regulatory approval_#01_KOR</t>
  </si>
  <si>
    <t xml:space="preserve">26866138LYM2034 Korea regulatory submission_#01_[Reference1] Leonard_ASCO2007</t>
  </si>
  <si>
    <t xml:space="preserve">26866138LYM2034 Korea Regulatory submission_#01_[Reference2] Mounier_ICML2008</t>
  </si>
  <si>
    <t xml:space="preserve">26866138LYM2034 Korea Regulatory submission_#03_IB13_MIWHA ICF</t>
  </si>
  <si>
    <t xml:space="preserve">26866138LYM2034 Korea regulatory submission_#02_changed investigator list_20110321</t>
  </si>
  <si>
    <t xml:space="preserve">26866138LYM2034 Korea Regulatory notification_#04_1st enrollment</t>
  </si>
  <si>
    <t xml:space="preserve">26866138LYM2034 Korea Regulatory notification_#05_Annual report_06Jul2010</t>
  </si>
  <si>
    <t xml:space="preserve">26866138LYM2034 Korea Regulatory notification_#10_annual report_18Jan2011</t>
  </si>
  <si>
    <t xml:space="preserve">26866138LYM2034 Korea Regulatory submission_#09_table for changes</t>
  </si>
  <si>
    <t xml:space="preserve">26866138LYM2034 Korea Regulatory notification_#12_attach_2034 change manuf IB update CORE Annex 2</t>
  </si>
  <si>
    <t xml:space="preserve">26866138LYM2034 Korea Regulatory submission letter_#09_PRT3.0</t>
  </si>
  <si>
    <t xml:space="preserve">26866138LYM2034 Korea #05_Annual report_Jul2010</t>
  </si>
  <si>
    <t xml:space="preserve">26866138LYM2034 Korea Regulatory submission_#08_attach_PRT3.0 eng</t>
  </si>
  <si>
    <t xml:space="preserve">26866138LYM2034 Korea Regulatory submission_#12_attach_Vincristine_Italy</t>
  </si>
  <si>
    <t xml:space="preserve">26866138LYM2034 Korea Regulatory submission letter_#09</t>
  </si>
  <si>
    <t xml:space="preserve">26866138LYM2034 Korea Regulatory submission_attach_#09_PRT3.0</t>
  </si>
  <si>
    <t xml:space="preserve">26866138LYM2034 Korea Regulatory approval letter_#09_PRT3.0</t>
  </si>
  <si>
    <t xml:space="preserve">26866138LYM2034 Korea Regulatory submission_#01_official letter for KFDA question1</t>
  </si>
  <si>
    <t xml:space="preserve">26866138LYM2034 Korea Regulatory submission_#01_official letter for KFDA question2</t>
  </si>
  <si>
    <t xml:space="preserve">26866138LYM2034 Korea Regulatory submission_#01_official letter for KFDA question3</t>
  </si>
  <si>
    <t xml:space="preserve">26866138LYM2034 Korea Regulatory notification letter_#08_velcade recall</t>
  </si>
  <si>
    <t xml:space="preserve">26866138LYM2034 Korea Regulatory submission_#12_attach_Vincristine Italy SPC 1_1 mgml</t>
  </si>
  <si>
    <t xml:space="preserve">26866138LYM2034 Korea Regulatory submission_#12_attach_Vincristine TEVA smcp english</t>
  </si>
  <si>
    <t xml:space="preserve">26866138LYM2034 Korea Regulatory notification_15_velcade recall_28Nov2011</t>
  </si>
  <si>
    <t xml:space="preserve">26866138LYM2034 Korea Regulatory Submission_16_attach1.GMPcertificateBSP</t>
  </si>
  <si>
    <t xml:space="preserve">26866138LYM2034 Korea Regulatory Submission_16_attach2.GMPcertificate_PFMP1</t>
  </si>
  <si>
    <t xml:space="preserve">26866138LYM2034 Korea Regulatory Submission_16_attach3.GMPcertificate_PFMP2</t>
  </si>
  <si>
    <t xml:space="preserve">26866138LYM2034 Korea Regulatory request_15_Velcade recall</t>
  </si>
  <si>
    <t xml:space="preserve">26866138LYM2034 Korea Regulatory Submission_16_manufacturer add</t>
  </si>
  <si>
    <t xml:space="preserve">26866138LYM2034 Korea Regulatory Submission_16_attach4. manufacture method</t>
  </si>
  <si>
    <t xml:space="preserve">26866138LYM2034 Korea Regulatory Submission_16_attach5.summary of submission doc</t>
  </si>
  <si>
    <t xml:space="preserve">26866138LYM2034 Korea Regulatory submission letter_#16</t>
  </si>
  <si>
    <t xml:space="preserve">26866138LYM2034 Korea Regulatory approval Letter_#16. manufacturer addition</t>
  </si>
  <si>
    <t xml:space="preserve">26866138LYM2034 Korea Regulatory #15_Official letter answer_02Dec2011</t>
  </si>
  <si>
    <t xml:space="preserve">26866138LYM2034 Korea Regulatory #15_official request from HA_20111130</t>
  </si>
  <si>
    <t xml:space="preserve">26866138LYM2034 Korea Regulatory notification_#0606_chang in manufacturing site for vincristine_20100728</t>
  </si>
  <si>
    <t xml:space="preserve">26866138LYM2034 Korea Regulatory notification_#11_IB14_changed indemnity_chaged director</t>
  </si>
  <si>
    <t xml:space="preserve">26866138LYM2034 Korea Regulatory notification_#14_ICF3.0 and addendum1.0_12OCT2011</t>
  </si>
  <si>
    <t xml:space="preserve">26866138LYM2034 Korea correspondence_#21_email with KoreanRA_GTM</t>
  </si>
  <si>
    <t xml:space="preserve">26866138LYM2034 Korea correspondence_#06_email with Korean RA</t>
  </si>
  <si>
    <t xml:space="preserve">26866138LYM2034 Korea Regulatory notification_#20_IB15_04May2012</t>
  </si>
  <si>
    <t xml:space="preserve">26866138LYM2034 Korea Regulatory  notification_#17_ICFadd1.0_ICF3.0_12Jan2012</t>
  </si>
  <si>
    <t xml:space="preserve">26866138LYM2034 Korea Regulatory submission_#01_initial VELCADE CTAsubmission letter_Eng</t>
  </si>
  <si>
    <t xml:space="preserve">26866138LYM2034 Korea Regulatory submission_#01_intialVELCADE CTAapplication request_KOR</t>
  </si>
  <si>
    <t xml:space="preserve">26866138LYM2034 Korea Regulatory approval or notification_#21_LYM2034_Eng official letter_PFMP manufacturer issue</t>
  </si>
  <si>
    <t xml:space="preserve">26866138LYM2034 Korea Regulatory submission_#21_LYM2034_Kor official letter_PFMP manufacturer issue</t>
  </si>
  <si>
    <t xml:space="preserve">26866138LYM2034 Korea Regulatory approval letter_#17_PRT4.0</t>
  </si>
  <si>
    <t xml:space="preserve">26866138LYM2034 Korea Regulatory notification_#06_LYM2034 Annex 2 addit packaging sites_core</t>
  </si>
  <si>
    <t xml:space="preserve">26866138LYM2034 Korea Regulatory  notification_#06_highlighted changes_change manufacturing site vincristine_20Jul2010</t>
  </si>
  <si>
    <t xml:space="preserve">26866138LYM2034 Korea Regulatory correspondence_#21_Phone log with Korean health authority_01Jun2012</t>
  </si>
  <si>
    <t xml:space="preserve">26866138LYM2034 Korea correspondence_#21_email with central team</t>
  </si>
  <si>
    <t xml:space="preserve">26866138LYM2034 Korea Regulatory submission_#17_PRT4.0_11Jan2012</t>
  </si>
  <si>
    <t xml:space="preserve">26866138LYM2034 Korea Regulatory notification_#06_VincristineSmPC_HospiraUK</t>
  </si>
  <si>
    <t xml:space="preserve">26866138LYM2034 Korea Regulatory approval letter_#01_Full approvals for VELCADE CTAs</t>
  </si>
  <si>
    <t xml:space="preserve">26866138LYM2034 Korea Regulatory notification_19_annual report_21Feb2012</t>
  </si>
  <si>
    <t xml:space="preserve">26866138LYM3002 Korea Regulatory submission 09NOV2009</t>
  </si>
  <si>
    <t xml:space="preserve">26866138LYM3002 Korea Regulatory approval or notification</t>
  </si>
  <si>
    <t xml:space="preserve">26866138LYM3002 Korea Regulatory approval or notification Approval letter_#0 Initial Submission_10DEC2010</t>
  </si>
  <si>
    <t xml:space="preserve">26866138LYM3002 Korea Regulatory approval or notification_Submission letter_#0 Initial Submission_19NOV2009</t>
  </si>
  <si>
    <t xml:space="preserve">26866138LYM3002 Korea Regulatory approval or notification_Notification_#10 Vincristine-TEVA_30JUN2011</t>
  </si>
  <si>
    <t xml:space="preserve">26866138LYM3002 Korea Regulatory approval or notification_Notification_#11 IB 14 Addendum 1_03AUG2011</t>
  </si>
  <si>
    <t xml:space="preserve">26866138LYM3002 Korea Regulatory approval or notification_Approval letter_#12 Protocol Amendment INT-5_22NOV2011</t>
  </si>
  <si>
    <t xml:space="preserve">26866138LYM3002 Korea Regulatory approval or notification_Submission letter_#12 Protocol Amendment INT-5_20OCT2011</t>
  </si>
  <si>
    <t xml:space="preserve">26866138LYM3002 Korea Regulatory approval or notification_Notification_#13 ICF 3.0_07NOV2011</t>
  </si>
  <si>
    <t xml:space="preserve">26866138LYM3002 Korea Regulatory approval or notification_Notification_#14 Velcade Recall_28NOV2011</t>
  </si>
  <si>
    <t xml:space="preserve">26866138LYM3002 Korea Regulatory approval or notification_Notification_#15 2012 Annual Report_22FEB2012</t>
  </si>
  <si>
    <t xml:space="preserve">26866138LYM3002 Korea Regulatory approval or notification_Notification_#16 ICF 3.1, DNA ICF 1.1, IB 15, Indemnity 2011_04MAY2012</t>
  </si>
  <si>
    <t xml:space="preserve">26866138LYM3002 Korea Regulatory approval or notification_Notification_#17 CRA change_12JUN2012</t>
  </si>
  <si>
    <t xml:space="preserve">26866138LYM3002 Korea Regulatory approval or notification_Notification_#1 CRA Change_02FEB2010</t>
  </si>
  <si>
    <t xml:space="preserve">26866138LYM3002 Korea Regulatory approval or notification_Notification_#2 IB 13.0_15FEB2010</t>
  </si>
  <si>
    <t xml:space="preserve">26866138LYM3002 Korea Regulatory approval or notification_Notification_#3-1 First Patinet In_23APR2010</t>
  </si>
  <si>
    <t xml:space="preserve">26866138LYM3002 Korea Regulatory approval or notification_Notification_#3-2 MIHWAF ICF_23APR2010</t>
  </si>
  <si>
    <t xml:space="preserve">26866138LYM3002 Korea Regulatory approval or notification_Notification_#4 2010 Annual Report_06JUL2010</t>
  </si>
  <si>
    <t xml:space="preserve">26866138LYM3002 Korea Regulatory approval or notification_Notification_#5 Additional Labelling_18AUG2010</t>
  </si>
  <si>
    <t xml:space="preserve">26866138LYM3002 Korea Regulatory approval or notification_Notification_#6 Change in Manufacturing site for Vincristine_28JUL2010</t>
  </si>
  <si>
    <t xml:space="preserve">26866138LYM3002 Korea Regulatory approval or notification_Notification_#7 IB 14.0_01FEB2011</t>
  </si>
  <si>
    <t xml:space="preserve">26866138LYM3002 Korea Regulatory approval or notification_Approval letter_#8 Protocol INT-4, ICF 2.0_29MAR2011</t>
  </si>
  <si>
    <t xml:space="preserve">26866138LYM3002 Korea Regulatory approval or notification_Submission letter_#8 Protocol INT-4, ICF 2.0_24FEB2011</t>
  </si>
  <si>
    <t xml:space="preserve">26866138LYM3002 Korea Regulatory approval or notification_Notification_#9 2011 Annual Report_25FEB2011</t>
  </si>
  <si>
    <t xml:space="preserve">26866138LYM3002 Korea Regulatory approval or notification_25FEB2011</t>
  </si>
  <si>
    <t xml:space="preserve">26866138LYM3002 Korea Regulatory approval or notification_29MAR2011</t>
  </si>
  <si>
    <t xml:space="preserve">26866138LYM3002 Korea Regulatory annual notification_25Feb2011</t>
  </si>
  <si>
    <t xml:space="preserve">26866138LYM3002 Korea Regulatory notification_Vincristine_TEVA_30Jun2011</t>
  </si>
  <si>
    <t xml:space="preserve">26866138LYM3002 Korea Regulatory approval or notification_Notification_#18 IB 15.0_08aug2012</t>
  </si>
  <si>
    <t xml:space="preserve">26866138LYM3002 Korea Regulatory approval or notification_Notification_#4 2010 Annual Report_22feb2013</t>
  </si>
  <si>
    <t xml:space="preserve">26866138LYM3002 Korea Regulatory approval or notification_Notification_#23 IB 17.0_20May2014</t>
  </si>
  <si>
    <t xml:space="preserve">26866138LYM3002 Korea Regulatory approval or notification_Notification_#4 2010 Annual Report_02Mar2015</t>
  </si>
  <si>
    <t xml:space="preserve">26866138LYM3002 Korea Regulatory approval or notification_Approval letter_#8 Protocol INT-6</t>
  </si>
  <si>
    <t xml:space="preserve">26866138LYM3002 Korea Regulatory approval or notification_Notification_#21 Annual Report_21feb2013</t>
  </si>
  <si>
    <t xml:space="preserve">LYM3002_MFDS report_New IB (Ed 18 and 19)_25Jul2016</t>
  </si>
  <si>
    <t xml:space="preserve">LYM3001_MFDS report_PI change (from Moon to Sohn)_26Jul2016</t>
  </si>
  <si>
    <t xml:space="preserve">LYM3001_MFDS report_PI change (from sohn to Moon)_25Jul2016</t>
  </si>
  <si>
    <t xml:space="preserve">26866138LYM3002 Korea Regulatory approval or notification_Notification_#20 IB 16.0_27May2015\3</t>
  </si>
  <si>
    <t xml:space="preserve">LYM3002_2017 annaul report_06Jul2017</t>
  </si>
  <si>
    <t xml:space="preserve">26866138LYM3002_2017annaul report_ correction information</t>
  </si>
  <si>
    <t xml:space="preserve">LYM3002_2016Annaul Report_30Mar2017</t>
  </si>
  <si>
    <t xml:space="preserve">26866138LYM3002_MFDS_2015 annual report_22Feb2016</t>
  </si>
  <si>
    <t xml:space="preserve">26866138MMY2073 Korea Regulatory approval initial_24Sep2012</t>
  </si>
  <si>
    <t xml:space="preserve">26866138MMY2073 Korea Regulatory Submission_Change sponsor location_31Dec2013</t>
  </si>
  <si>
    <t xml:space="preserve">28431754DIA3004 Korea Regulatory approval or notification</t>
  </si>
  <si>
    <t xml:space="preserve">28431754DIA3004 Korea Regulatory approval or notification_Initial application_Eng</t>
  </si>
  <si>
    <t xml:space="preserve">28431754DIA3004 Korea Regulatory approval or notification_KFDA SUA reporting_07JUN2010</t>
  </si>
  <si>
    <t xml:space="preserve">28431754DIA3004 Korea Regulatory approval or notification_Contents of iniaitl application</t>
  </si>
  <si>
    <t xml:space="preserve">28431754DIA3004 Korea Regulatory approval or notification_Clinical Research site</t>
  </si>
  <si>
    <t xml:space="preserve">28431754DIA3004 Korea Regulatory approval or notification_Clinical Research sites_attachment</t>
  </si>
  <si>
    <t xml:space="preserve">28431754DIA3004 Korea Regulatory approval or notification_Submission letter_PRT INT-1, ICF v3.0</t>
  </si>
  <si>
    <t xml:space="preserve">28431754DIA3004 Korea Regulatory approval or notification_PRT INT-2</t>
  </si>
  <si>
    <t xml:space="preserve">28431754DIA3004 Korea Regulatory approval or notification_Pre-clinical Trial report_01FEB2011</t>
  </si>
  <si>
    <t xml:space="preserve">28431754DIA3004 Korea Regulatory approval or notification_IB 7 add 2_14JAN2011</t>
  </si>
  <si>
    <t xml:space="preserve">28431754DIA3004 Korea Regulatory approval or notification_yearly notification</t>
  </si>
  <si>
    <t xml:space="preserve">28431754DIA3004 Korea Regulatory approval or notification_ICF 5.0, indemnity, FPI, trial center</t>
  </si>
  <si>
    <t xml:space="preserve">28431754DIA3004 Korea Regulatory approval or notification_preclinical safety data update information_29APR2011</t>
  </si>
  <si>
    <t xml:space="preserve">28431754DIA3004 Korea Regulatory notification_IB 8_14SEP2011</t>
  </si>
  <si>
    <t xml:space="preserve">28431754DIA3004 Korea Regulatory notification_IB 9_30SEP2011</t>
  </si>
  <si>
    <t xml:space="preserve">28431754DIA3004 Korea Regulatory approval or notification_End of Trial</t>
  </si>
  <si>
    <t xml:space="preserve">28431754DIA3004 Korea Regulatory approval or notification_KMDIA Letter for ELI150_26Nov2010</t>
  </si>
  <si>
    <t xml:space="preserve">28431754DIA3004 Korea Regulatory approval or notification_KMDIA Letter for Lab Kit_15Dec2011</t>
  </si>
  <si>
    <t xml:space="preserve">28431754DIA3004 Korea Regulatory approval or notification_KMDIA Letter for Lab Kit_24Nov2010</t>
  </si>
  <si>
    <t xml:space="preserve">28431754DIA3004 Korea Regulatory approval or notification_Submission Letter_IB 7 add 3_10FEB2011</t>
  </si>
  <si>
    <t xml:space="preserve">28431754DIA3004 Korea Regulatory approval or notification_Submission Letter_SUA report to KFDA_07Jun2010</t>
  </si>
  <si>
    <t xml:space="preserve">28431754DIA3004 Korea Regulatory approval or notification_Submission Letter_SUA report to KFDA_26Aug2010</t>
  </si>
  <si>
    <t xml:space="preserve">28431754DIA3004 Korea Regulatory approval or notification_Use Plan for ELI150_Site #082015 &amp; 082023</t>
  </si>
  <si>
    <t xml:space="preserve">28431754DIA3004 Korea Regulatory approval or notification_Use Plan for Lab Kit_Site #082015</t>
  </si>
  <si>
    <t xml:space="preserve">28431754DIA3004 Korea Regulatory approval or notification_Use Plan for Lab Kit_Site #082015 &amp; 082023</t>
  </si>
  <si>
    <t xml:space="preserve">28431754DIA3004 Korea Regulatory approval or notification_Approval Letter_Prt Kor v2.0_ICF v3.0_03Dec2012</t>
  </si>
  <si>
    <t xml:space="preserve">28431754DIA3004 Korea Regulatory approval or notification_Submission Letter_SUA report to KFDA_22Dec2010 to 13Apr2012</t>
  </si>
  <si>
    <t xml:space="preserve">28431754DIA3004 Korea Regulatory approval or notification_Submission letter_SUA report to KFDA</t>
  </si>
  <si>
    <t xml:space="preserve">28431754DIA3004 Korea Regulatory approval or notification_Annual Review_19Mar2013</t>
  </si>
  <si>
    <t xml:space="preserve">28431754DIA3005 Korea Regulatory approval letter_04May2010</t>
  </si>
  <si>
    <t xml:space="preserve">28431754DIA3005 Korea Regulatory submission cover letter_31Mar2010</t>
  </si>
  <si>
    <t xml:space="preserve">28431754DIA3005 Korea Regulatory approval or notification_INT3_25Oct2010</t>
  </si>
  <si>
    <t xml:space="preserve">28431754DIA3005 Korea Regulatory approval or notification_INT3_19Nov2010</t>
  </si>
  <si>
    <t xml:space="preserve">28431754DIA3005 Korea Regulatory notification_SUA by 31Jan2011&gt;</t>
  </si>
  <si>
    <t xml:space="preserve">28431754DIA3005 Korea Regulatory  notification_pro-clinical trial report</t>
  </si>
  <si>
    <t xml:space="preserve">28431754DIA3005 Korea Regulatory submission_INT3</t>
  </si>
  <si>
    <t xml:space="preserve">28431754DIA3005 Korea Regulatory notification_FPI</t>
  </si>
  <si>
    <t xml:space="preserve">28431754DIA3005 Korea Regulatory_response for INT3 conditional approval_04Nov 2010</t>
  </si>
  <si>
    <t xml:space="preserve">28431754DIA3005 Korea Regulatory  notification_CS ICF ver1.1_05nov2010</t>
  </si>
  <si>
    <t xml:space="preserve">28431754DIA3005 Korea Regulatory notification_SUA 26Aug 2010</t>
  </si>
  <si>
    <t xml:space="preserve">28431754DIA3005 Korea Regulatory  notification_CS ICF ver 3.1 &amp; updated ECRF &amp; revised indemnity_14Feb 2011</t>
  </si>
  <si>
    <t xml:space="preserve">28431754DIA3005 Korea Regulatory notification_IB addendum 3_10 Feb 2011</t>
  </si>
  <si>
    <t xml:space="preserve">28431754DIA3005 Korea Regulatory notification_annual report_02Feb 2011</t>
  </si>
  <si>
    <t xml:space="preserve">28431754DIA3005 Korea Regulatory approval or notification annual report Feb2012</t>
  </si>
  <si>
    <t xml:space="preserve">28431754DIA3005 Korea Regulatory approval or notification end of trial notification</t>
  </si>
  <si>
    <t xml:space="preserve">28431754DIA3005 Korea Regulatory approval or notification Addendum 2 to IB 7</t>
  </si>
  <si>
    <t xml:space="preserve">28431754DIA3005 Korea Regulatory approval or notification Pre-clinical safety data_updated information</t>
  </si>
  <si>
    <t xml:space="preserve">28431754DIA3005 Korea Regulatory approval or notification ICF IB8 &amp; 9</t>
  </si>
  <si>
    <t xml:space="preserve">28431754DIA3005 Korea Regulatory approval or notification SUA 31May2011</t>
  </si>
  <si>
    <t xml:space="preserve">28431754DIA3005 Korea Regulatory approval or notification 29Jun2011</t>
  </si>
  <si>
    <t xml:space="preserve">28431754DIA3005 Korea Regulatory approval or notification annual report_Feb2013</t>
  </si>
  <si>
    <t xml:space="preserve">1. 28431754DIA3009_HA_Submission_1_ Korea</t>
  </si>
  <si>
    <t xml:space="preserve">28431754DIA3009 Korea Regulatory approval or notification letter_SUAs notification report</t>
  </si>
  <si>
    <t xml:space="preserve">28431754DIA3009 Korea Regulatory Approval or notification #01_Initial, Prt KOR version 1.0_21Dec2009</t>
  </si>
  <si>
    <t xml:space="preserve">28431754DIA3009 Korea Regulatory Approval or notification #05_Prt KOR version 2.0, ICF version 2.0_19Apr2010</t>
  </si>
  <si>
    <t xml:space="preserve">28431754DIA3009 Korea Regulatory Approval or notification #08_Prt KOR version 3.0_28Jan2011 (Request for supplementation)</t>
  </si>
  <si>
    <t xml:space="preserve">28431754DIA3009 Korea Regulatory Approval or notification #12_Prt KOR version 3.1_10Mar2011 (Approved)</t>
  </si>
  <si>
    <t xml:space="preserve">28431754DIA3009 Korea Regulatory Approval or notification #16_Trial Supplies (Strips &amp; Lancets)_30Aug2011</t>
  </si>
  <si>
    <t xml:space="preserve">28431754DIA3009 Korea Regulatory Approval or notification #17_Trial Supplies (Needles)_01Sep2011</t>
  </si>
  <si>
    <t xml:space="preserve">28431754DIA3009 Korea Regulatory Submission #01_Initial, Prt KOR version 1.0_26Aug2009</t>
  </si>
  <si>
    <t xml:space="preserve">28431754DIA3009 Korea Regulatory Submission #02_Annual Status Update_02Mar2010</t>
  </si>
  <si>
    <t xml:space="preserve">28431754DIA3009 Korea Regulatory Submission #03_IB Edition 7_05Mar2010</t>
  </si>
  <si>
    <t xml:space="preserve">28431754DIA3009 Korea Regulatory Submission #04_IB Edition 7 Addendum 1_17Mar2010</t>
  </si>
  <si>
    <t xml:space="preserve">28431754DIA3009 Korea Regulatory Submission #05_Prt KOR version 2.0, ICF version 2.0_12Mar2010</t>
  </si>
  <si>
    <t xml:space="preserve">28431754DIA3009 Korea Regulatory Submission #06_Changed Site Status_10Aug2010</t>
  </si>
  <si>
    <t xml:space="preserve">28431754DIA3009 Korea Regulatory Submission #07_Changed CRA_05Oct2010</t>
  </si>
  <si>
    <t xml:space="preserve">28431754DIA3009 Korea Regulatory Submission #08_Prt KOR version 3.0_28Dec2010</t>
  </si>
  <si>
    <t xml:space="preserve">28431754DIA3009 Korea Regulatory Submission #09_IB Edition 7 Addendum 2_14Jan2011</t>
  </si>
  <si>
    <t xml:space="preserve">28431754DIA3009 Korea Regulatory Submission #10_Pre-clinical safety report_01Feb2011</t>
  </si>
  <si>
    <t xml:space="preserve">28431754DIA3009 Korea Regulatory Submission #11_IB Edition 7 Addendum 3_10Feb2011</t>
  </si>
  <si>
    <t xml:space="preserve">28431754DIA3009 Korea Regulatory Submission #12_Annual Status Update_24Feb2011</t>
  </si>
  <si>
    <t xml:space="preserve">28431754DIA3009 Korea Regulatory Submission #13_Prt KOR version 3.1_24Feb2011 (Reply to request for supplementation)</t>
  </si>
  <si>
    <t xml:space="preserve">28431754DIA3009 Korea Regulatory Submission #14_CS ICF version 3.0_14Mar2011</t>
  </si>
  <si>
    <t xml:space="preserve">28431754DIA3009 Korea Regulatory Submission #15_Pre-clinical safety report_29Apr2011</t>
  </si>
  <si>
    <t xml:space="preserve">28431754DIA3009 Korea Regulatory Submission #16_Trial Supplies (Strips &amp; Lancets)_26Aug2011</t>
  </si>
  <si>
    <t xml:space="preserve">28431754DIA3009 Korea Regulatory Submission #17_Trial Supplies (Needles with KPTA letter)_29Aug2011</t>
  </si>
  <si>
    <t xml:space="preserve">28431754DIA3009 Korea Regulatory Submission #18_IB Edition 8 &amp; 9, Addendum 1.0 to CS ICF version 3.0_04Oct2011</t>
  </si>
  <si>
    <t xml:space="preserve">28431754DIA3009 Korea Regulatory Submission #19_Annual Status Update_13Feb2012</t>
  </si>
  <si>
    <t xml:space="preserve">28431754DIA3009 Korea Regulatory Submission #20_IB Edition 10_14Jan2013</t>
  </si>
  <si>
    <t xml:space="preserve">28431754DIA3009 Korea Regulatory Submission #21_EOT Notification_25Feb2013</t>
  </si>
  <si>
    <t xml:space="preserve">28431754DIA3009 Korea Regulatory Submission #22_Annual Status Update_27Feb2013</t>
  </si>
  <si>
    <t xml:space="preserve">28431754DIA3009 Korea Regulatory approval or notification_Trial end notification</t>
  </si>
  <si>
    <t xml:space="preserve">28431754DIA3011 Korea Regulatory notification #1 First patient In_17Dec2013</t>
  </si>
  <si>
    <t xml:space="preserve">28431754DIA3011 Korea Regulatory notification #2_IB 11.0_23Dec2013</t>
  </si>
  <si>
    <t xml:space="preserve">28431754DIA3011 Korea Regulatory notification #3 real time reporting_17Feb2014</t>
  </si>
  <si>
    <t xml:space="preserve">28431754DIA3011 Korea Regulatory approval letter #4 approved 14May2014</t>
  </si>
  <si>
    <t xml:space="preserve">28431754DIA3011 Korea Regulatory approval #4 change of PRT 2.0, ICFs, Investigator list, Indemnity, Insurance_08Apr2014_attachment</t>
  </si>
  <si>
    <t xml:space="preserve">28431754DIA3011 Korea Regulatory approval #4 change of PRT 2.0, ICFs, Investigator list, Indemnity, Insurance_08Apr2014</t>
  </si>
  <si>
    <t xml:space="preserve">28431754DIA3011 Korea Regulatory notification #5 IB 12_12Sep2014_attachment</t>
  </si>
  <si>
    <t xml:space="preserve">28431754DIA3011 Korea Regulatory notification #5 IB 12_12Sep2014</t>
  </si>
  <si>
    <t xml:space="preserve">28431754DIA3011 Korea Regulatory notification #3 real time reporting_17Feb2014_attachment</t>
  </si>
  <si>
    <t xml:space="preserve">28431754DIA3011 Korea Regulatory notification #2 IB 11_23Dec2013_attachment</t>
  </si>
  <si>
    <t xml:space="preserve">28431754DIA3011 Korea Regulatory approval or notification tracing log</t>
  </si>
  <si>
    <t xml:space="preserve">28431754DIA3011 Korea Regulatory approval or notification</t>
  </si>
  <si>
    <t xml:space="preserve">28431754DIA3011 Korea Regulatory initial submission 12Apr2013</t>
  </si>
  <si>
    <t xml:space="preserve">28431754DIA3011 Korea Regulatory _Response to KFDA request &amp; revision on initial submission_ 07Jun2013</t>
  </si>
  <si>
    <t xml:space="preserve">28431754DIA3011 Korea Regulatory _official letter for supplement request_09May2013</t>
  </si>
  <si>
    <t xml:space="preserve">28431754DIA3011 Korea Regulatory approval or notification Final Approval 12Jun2013</t>
  </si>
  <si>
    <t xml:space="preserve">28431754DIA3015 Korea HA Application_Initial Submission_30Jun2010</t>
  </si>
  <si>
    <t xml:space="preserve">28431754DIA3015 Korea Regulatory approval_Initial approval_Kor_ 03Aug2010</t>
  </si>
  <si>
    <t xml:space="preserve">28431754DIA3015 Korea HA submission_Amend INT-1 &amp; Add sites _ 26 Aug 2010</t>
  </si>
  <si>
    <t xml:space="preserve">28431754DIA3015 Korea Regulatory approval Protocol INT-1/Kor v2.0_29Sep2010</t>
  </si>
  <si>
    <t xml:space="preserve">28431754DIA3015 Korea Regulatory notification_Pre-clinical safety report_01Feb2011</t>
  </si>
  <si>
    <t xml:space="preserve">28431754DIA3015 Korea Regulatory notification IB 7 add 2 _14Jan2011</t>
  </si>
  <si>
    <t xml:space="preserve">28431754DIA3015 Korea Regulatory notification IB 7 add 3 _ 10 Feb 201</t>
  </si>
  <si>
    <t xml:space="preserve">28431754DIA3015 Korea Regulatory notification First subject enrolled_ 22Feb2011</t>
  </si>
  <si>
    <t xml:space="preserve">28431754DIA3015 Korea Regulatory notification ICFv3.0 &amp; indemnity issued 01Jan2011 _22Feb2011</t>
  </si>
  <si>
    <t xml:space="preserve">28431754DIA3015 Korea Regulatory notification Clinical Trial Status Report for Feb 2011 _ 22 Feb 2011</t>
  </si>
  <si>
    <t xml:space="preserve">28431754DIA3015 Korea Regulatory notification pre-clinical safety data_update_29Apr2011</t>
  </si>
  <si>
    <t xml:space="preserve">28431754DIA3015 Korea Regulatory notification_IB edition 8 &amp; 9 _ 04Nov2011</t>
  </si>
  <si>
    <t xml:space="preserve">28431754DIA3015 Korea Regulatory End of Trial Notification Form_30Mar2012</t>
  </si>
  <si>
    <t xml:space="preserve">28431754DIA3015 Korea Regulatory End of Trial Notification confirmation_30Mar2012</t>
  </si>
  <si>
    <t xml:space="preserve">28431754DIA3015 Korea Regulatory Approval_KMDIA letter_ABS SP_17JAN2011</t>
  </si>
  <si>
    <t xml:space="preserve">28431754DIA3015 Korea Regulatory Approval_KMDIA letter_BGMS_17JAN2011</t>
  </si>
  <si>
    <t xml:space="preserve">28431754DIA3015 Korea Regulatory notification_SUA#20100800377(2), 20100803052(0)_26AUG2010</t>
  </si>
  <si>
    <t xml:space="preserve">28431754DIA3015 Korea Regulatory submission_SUA#20100510138(0)_07JUN2010</t>
  </si>
  <si>
    <t xml:space="preserve">28431754DIA3015 Korea Regulatory notification_ICF addendum Kor v1.0 on 11JAN2012_12MAR2012</t>
  </si>
  <si>
    <t xml:space="preserve">28431754DIA3015 Korea Regulatory notification_KMDIA letter_03SEP2010</t>
  </si>
  <si>
    <t xml:space="preserve">28431754DIA3015 Korea Regulatory notification_Clinical Trial Status Report for 2012_ 12Mar2012</t>
  </si>
  <si>
    <t xml:space="preserve">28431754DIA3015 Korea Regulatory notification_ICF v2.0_24FEB2011</t>
  </si>
  <si>
    <t xml:space="preserve">28431754DIA3015 Korea Regulatory submission_SUA#120.SE-JNJFOC-20110100636(4)_31OCT2011</t>
  </si>
  <si>
    <t xml:space="preserve">28431754DIA3015 Korea Regulatory submission_SUA#18.IS-JNJFOC-20101202944(0)_22DEC2010</t>
  </si>
  <si>
    <t xml:space="preserve">28431754DIA3015 Regulatory submission_SUA#20.BG-JNJFOC-20101203377(0)_22DEC2010</t>
  </si>
  <si>
    <t xml:space="preserve">28431754DIA3015 Korea Regulatory submission_SUA#93.PR-JNJFOC-20110603517(2)_19JUL2011</t>
  </si>
  <si>
    <t xml:space="preserve">28431754DIA3015 Korea Regulatory submission_SUA#95.DK-JNJFOC-20101205831(6)_19JUL2011</t>
  </si>
  <si>
    <t xml:space="preserve">28431754DIA3015 Korea Regulatory submission_SUA#20101203377(2)_12MAY2011</t>
  </si>
  <si>
    <t xml:space="preserve">28431754DIA3015 Korea Regulatory submission_SUA#20101203377(3)_05JUL2011</t>
  </si>
  <si>
    <t xml:space="preserve">28431754DIA3015 Korea Regulatory submission_SUA#20110103115(5)_04APR2011</t>
  </si>
  <si>
    <t xml:space="preserve">28431754DIA3015 Korea Regulatory submission_SUA#20110200146(2)_31MAY2011</t>
  </si>
  <si>
    <t xml:space="preserve">28431754DIA3015 Korea Regulatory submission_SUA#20110310755(0)_11APR2011</t>
  </si>
  <si>
    <t xml:space="preserve">28431754DIA3015 Korea Regulatory submission_SUA#20110310755(1)_22APR2011</t>
  </si>
  <si>
    <t xml:space="preserve">28431754DIA3015 Korea Regulatory submission_SUA#22.DK-JNJFOC-20101205831(0)_29DEC2010</t>
  </si>
  <si>
    <t xml:space="preserve">28431754DIA3015 Korea Regulatory submission_SUA#24.IS-JNJFOC-20101202944(1)_29DEC2010</t>
  </si>
  <si>
    <t xml:space="preserve">28431754DIA3015 Korea Regulatory submission_SUA#27.BG-JNJFOC-20101203377(1)_11JAN2011</t>
  </si>
  <si>
    <t xml:space="preserve">28431754DIA3015 Korea Regulatory submission_SUA#30.SE-JNJFOC-20110100636(0)_19JAN2011</t>
  </si>
  <si>
    <t xml:space="preserve">28431754DIA3015 Korea Regulatory submission_SUA#31.DK-JNJFOC-20101205831(1)_19JAN2011</t>
  </si>
  <si>
    <t xml:space="preserve">28431754DIA3015 Korea Regulatory submission_SUA#34.IL-JNJFOC-20110103115(1)_26JAN2011</t>
  </si>
  <si>
    <t xml:space="preserve">28431754DIA3015 Korea Regulatory submission_SUA#37.DK-JNJFOC-20101205831(2)_31JAN2011</t>
  </si>
  <si>
    <t xml:space="preserve">28431754DIA3015 Korea Regulatory submission_SUA#39.PL-JNJFOC-20110105165(0)_08FEB2011</t>
  </si>
  <si>
    <t xml:space="preserve">28431754DIA3015 Korea Regulatory submission_SUA#42.BE-JNJFOC-20110200146(0)_15FEB2011</t>
  </si>
  <si>
    <t xml:space="preserve">28431754DIA3015 Korea Regulatory submission_SUA#43.PL-JNJFOC-20110105165(2)_15FEB2011</t>
  </si>
  <si>
    <t xml:space="preserve">28431754DIA3015 Korea Regulatory submission_SUA#45.BE-JNJFOC-20110200146(1)_02MAR2011</t>
  </si>
  <si>
    <t xml:space="preserve">28431754DIA3015 Korea Regulatory submission_SUA#47.DK-JNJFOC-20101205831(3)_02MAR2011</t>
  </si>
  <si>
    <t xml:space="preserve">28431754DIA3015 Korea Regulatory submission_SUA#49.IL-JNJFOC-20110103115(2)_02MAR2011</t>
  </si>
  <si>
    <t xml:space="preserve">28431754DIA3015 Korea Regulatory submission_SUA#50.SE-JNJFOC-20110100636(2)_02MAR2011</t>
  </si>
  <si>
    <t xml:space="preserve">28431754DIA3015 Korea Regulatory submission_SUA#61.FR-JNJFOC-20110310216(0)_04APR2011</t>
  </si>
  <si>
    <t xml:space="preserve">28431754DIA3015 Korea Regulatory submission_SUA#65.DK-JNJFOC-20101205831(4)_11APR2011</t>
  </si>
  <si>
    <t xml:space="preserve">28431754DIA3015 Korea Regulatory submission_SUA#66.FR-JNJFOC-20110310216(1)_15APR2011</t>
  </si>
  <si>
    <t xml:space="preserve">28431754DIA3015 Korea Regulatory submission_SUA#68.FR-JNJFOC-20110310216(2)_22APR2011</t>
  </si>
  <si>
    <t xml:space="preserve">28431754DIA3015 Korea Regulatory submission_SUA#76.AT-JNJFOC-20110510294(0)_31MAY2011</t>
  </si>
  <si>
    <t xml:space="preserve">28431754DIA3015 Korea Regulatory submission_SUA#80.PR-JNJFOC-20110603517(0)_21JUN2011</t>
  </si>
  <si>
    <t xml:space="preserve">28431754DIA3015 Korea Regulatory submission_SUA#83.PR-JNJFOC-20110603517(1)_01JUL2011</t>
  </si>
  <si>
    <t xml:space="preserve">28431754DIA3015 Korea Regulatory submission_SUA#86.NZ-JNJFOC-20110609399(0)_05JUL2012</t>
  </si>
  <si>
    <t xml:space="preserve">28431754DIA3015 Korea Regulatory submission_SUA#90.AT-JNJFOC-20110510294(2)_11JUL2011</t>
  </si>
  <si>
    <t xml:space="preserve">28431754DIA3015 Korea Regulatory submission_SUA#91.NZ-JNJFOC-20110609399(1)_11JUL2011</t>
  </si>
  <si>
    <t xml:space="preserve">28431754DIA3015 Korea Regulatory notification _clinical trial status report_26Feb2013</t>
  </si>
  <si>
    <t xml:space="preserve">28431754DIA3015 Korea Regulatory submission _ KMDIA letter_Lab Kit</t>
  </si>
  <si>
    <t xml:space="preserve">28431754DIA3015 Korea Regulatory submission _ KMDIA letter_SMBG</t>
  </si>
  <si>
    <t xml:space="preserve">Lap kit import_Initial approval form_27May2014</t>
  </si>
  <si>
    <t xml:space="preserve">Lap kit import_approval letter_19May2015</t>
  </si>
  <si>
    <t xml:space="preserve">Lap kit import_approval letter_27Jul2015</t>
  </si>
  <si>
    <t xml:space="preserve">HA approval letter PRT INT-4 today, 22Jul2016.</t>
  </si>
  <si>
    <t xml:space="preserve">MFDS Approval letter_PRT INT 4 _22Jul2016</t>
  </si>
  <si>
    <t xml:space="preserve">PRT INT-5</t>
  </si>
  <si>
    <t xml:space="preserve">MFDS Approval Letter _PRT INT 3 _05 Feb 2017</t>
  </si>
  <si>
    <t xml:space="preserve">28431754DIA4003 Korea Regulatory approval or notification_Initial Approval 21-Apr-2014</t>
  </si>
  <si>
    <t xml:space="preserve">37822681SCH2002 Korea Regulatory approval letter_14Oct08</t>
  </si>
  <si>
    <t xml:space="preserve">37822681SCH2002 Korea Regulatory approval letter_16Apr08</t>
  </si>
  <si>
    <t xml:space="preserve">37822681SCH2002 Korea Regulatory conditional approval_Eng_28Aug08</t>
  </si>
  <si>
    <t xml:space="preserve">37822681SCH2002 Korea Regulatory conditional approval_Kor_28Aug2008</t>
  </si>
  <si>
    <t xml:space="preserve">37822681SCH2002 Korea Regulatory notification for protocol amend &amp; site update_01Jun09</t>
  </si>
  <si>
    <t xml:space="preserve">37822681SCH2002 Korea Regulatory Notification_Study closure_09Mar2010</t>
  </si>
  <si>
    <t xml:space="preserve">37822681SCH2002 Korea Regulatory notification for CSR_04Nov2010</t>
  </si>
  <si>
    <t xml:space="preserve">38518168ARA2001 Korea Regulatory notification 4</t>
  </si>
  <si>
    <t xml:space="preserve">38518168ARA2001 Korea Regulatory notification 3</t>
  </si>
  <si>
    <t xml:space="preserve">38518168ARA2001 Korea Regulatory notification _ SUA 1</t>
  </si>
  <si>
    <t xml:space="preserve">38518168ARA2001 Korea Regulatory  notification 8</t>
  </si>
  <si>
    <t xml:space="preserve">38518168ARA2001 Korea Regulatory  notification 6</t>
  </si>
  <si>
    <t xml:space="preserve">38518168ARA2001 Korea Regulatory approval 5</t>
  </si>
  <si>
    <t xml:space="preserve">38518168ARA2001 Korea Regulatory approval 7</t>
  </si>
  <si>
    <t xml:space="preserve">38518168ARA2001 Korea Regulatorynotification_#10_03Nov2010</t>
  </si>
  <si>
    <t xml:space="preserve">38518168ARA2001 Korea Regulatorynotification_#11_24Nov2010</t>
  </si>
  <si>
    <t xml:space="preserve">38518168ARA2001 Korea Regulatorynotification_#12_17Jan2011</t>
  </si>
  <si>
    <t xml:space="preserve">38518168ARA2001 Korea Regulatorynotification_#5_14Apr2010</t>
  </si>
  <si>
    <t xml:space="preserve">38518168ARA2001 Korea Regulatorynotification_#7_09Jun2010</t>
  </si>
  <si>
    <t xml:space="preserve">38518168ARA2001 Korea Regulatorynotification_#9_29Oct2010</t>
  </si>
  <si>
    <t xml:space="preserve">38518168ARA2001 Korea Regulatorynotification 12-1_end of trial notification_28Jan2011</t>
  </si>
  <si>
    <t xml:space="preserve">38518168ARA2001 Korea Regulatory submission_SUA_27Oct2010</t>
  </si>
  <si>
    <t xml:space="preserve">38518168ARA2001 Korea Regulatory submission_SUA #3_28Oct2010</t>
  </si>
  <si>
    <t xml:space="preserve">38518168ARA2001 Korea Regulatory submission_SUA #4_5Nov2010</t>
  </si>
  <si>
    <t xml:space="preserve">38518168ARA2001 Korea Regulatory submission_SUA #5_21Dec2010</t>
  </si>
  <si>
    <t xml:space="preserve">38518168ARA2001 Korea Regulatory submission_SUA #6_23Dec2010</t>
  </si>
  <si>
    <t xml:space="preserve">38518168ARA2001 Korea Regulatory submission_SUA #7_30Dec2010</t>
  </si>
  <si>
    <t xml:space="preserve">38518168ARA2001 Korea Regulatory  notification #5 attachement</t>
  </si>
  <si>
    <t xml:space="preserve">38518168ARA2001 Korea Regulatory  notification #7 attachement</t>
  </si>
  <si>
    <t xml:space="preserve">38518168ARA2001 Korea Regulatory notification 1</t>
  </si>
  <si>
    <t xml:space="preserve">38518168ARA2001 Korea Regulatory notification 2</t>
  </si>
  <si>
    <t xml:space="preserve">39758979ASH2001 South_Korea Regulatory approval or notification_1st approval</t>
  </si>
  <si>
    <t xml:space="preserve">39758979ASH2001 South_Korea Regulatory approval or notification_CTA</t>
  </si>
  <si>
    <t xml:space="preserve">39758979ASH2001 South_Korea Regulatory approval or notification 1st suppl.</t>
  </si>
  <si>
    <t xml:space="preserve">39758979ASH2001 South_Korea Regulatory approval or notification_2nd suppl.</t>
  </si>
  <si>
    <t xml:space="preserve">39758979ASH2001 South_Korea Regulatory approval or notification_EOS</t>
  </si>
  <si>
    <t xml:space="preserve">39758979ASH2001 South_Korea Regulatory approval or notification_IBed.2</t>
  </si>
  <si>
    <t xml:space="preserve">40346527ARA2001 Korea Regulatory official comment_14Feb2012</t>
  </si>
  <si>
    <t xml:space="preserve">40346527ARA2001 Korea Regulatory initial submission package 16Jan2012</t>
  </si>
  <si>
    <t xml:space="preserve">40346527ARA2001 Korea Regulatory IB &amp; ICF update notification_11May2012</t>
  </si>
  <si>
    <t xml:space="preserve">40346527ARA2001 Korea Regulatory offical response_18Apr2012</t>
  </si>
  <si>
    <t xml:space="preserve">40346527ARA2001 Korea Regulatory approval_01May2012</t>
  </si>
  <si>
    <t xml:space="preserve">40346527ARA2001 Korea Regulatory official comment 2nd 25Apr2012</t>
  </si>
  <si>
    <t xml:space="preserve">40346527ARA2001 Korea Regulatory response for official comment 2nd 27Apr2012</t>
  </si>
  <si>
    <t xml:space="preserve">40346527ARA2001 Korea Regulatory approval_amendment#1_31Oct2012</t>
  </si>
  <si>
    <t xml:space="preserve">40346527ARA2001 Korea Regulatory notification_ IB 3.0_20Dec2012</t>
  </si>
  <si>
    <t xml:space="preserve">40346527ARA2001 Korea Regulatory_annual report_26Feb2013</t>
  </si>
  <si>
    <t xml:space="preserve">40346527ARA2001 Korea Regulatory notification_End of trial_22Mar2013</t>
  </si>
  <si>
    <t xml:space="preserve">40346527ARA2001 Korea Regulatory PRT amendment#1_submission_26Sep2012</t>
  </si>
  <si>
    <t xml:space="preserve">40346527ARA2001 Korea Regulatory medical device importing approval letter_10May2012</t>
  </si>
  <si>
    <t xml:space="preserve">HA Approval_Protocol Amendment INT-3/KOR-1_03Nov2022</t>
  </si>
  <si>
    <t xml:space="preserve">HA Approval_IMPD Amendment_08Aug2022</t>
  </si>
  <si>
    <t xml:space="preserve">Official deficiency letter(CMC related comment)_09Feb2021</t>
  </si>
  <si>
    <t xml:space="preserve">Official deficiency letter to PRT INT-2_21Jul2022</t>
  </si>
  <si>
    <t xml:space="preserve">HA Approval_Amendment_19JAN2023</t>
  </si>
  <si>
    <t xml:space="preserve">HA Approval_Protocol Amendment INT-2/Kor-1_Korean Protocol Version 4.0_24Aug2022</t>
  </si>
  <si>
    <t xml:space="preserve">HA Approval_Initial_25Mar2021</t>
  </si>
  <si>
    <t xml:space="preserve">42160443PAI2004 Korea Regulatory notification regarding ICF 4.0 and PRT INT-2/KOR-1</t>
  </si>
  <si>
    <t xml:space="preserve">42160443PAI2004 Korea Regulatory notification regarding BMI and anaphylaxis treatment.</t>
  </si>
  <si>
    <t xml:space="preserve">42160443PAI2004 Korea Regulatory notification reagaridng IB05 and ICFaddendum1</t>
  </si>
  <si>
    <t xml:space="preserve">42160443PAI2004 Korea Regulatory approval for initial submission</t>
  </si>
  <si>
    <t xml:space="preserve">42160443PAI2004 Korea Regulatory notification letter and dossier regarding PRT INT3/KOR-1</t>
  </si>
  <si>
    <t xml:space="preserve">42160443PAI2004 Korea Regulatory notification on ICF addendum 2.0</t>
  </si>
  <si>
    <t xml:space="preserve">42160443PAI2004 Korea Regulatory submission on Protocol amend INT-5/KOR-1</t>
  </si>
  <si>
    <t xml:space="preserve">42160443PAI2004 Korea Regulatory change notification on New Instruction for Joint Replacement AE reporting</t>
  </si>
  <si>
    <t xml:space="preserve">42160443PAI2004 Korea Regulatory notification on Dear Dr letter[Sep 20 2010] and ICF addendum 3</t>
  </si>
  <si>
    <t xml:space="preserve">42160443PAI2004 Korea Regulatory notification on Clinical Hold</t>
  </si>
  <si>
    <t xml:space="preserve">42160443PAI2004 Korea Regulatory response on Clinical Hold</t>
  </si>
  <si>
    <t xml:space="preserve">42160443PAI2004 Korea Regulatory notification on Clinical hold with additional information</t>
  </si>
  <si>
    <t xml:space="preserve">42160443PAI2004 Korea Regulatory submission letter and dossier on PRT INT-7</t>
  </si>
  <si>
    <t xml:space="preserve">42160443PAI2004 Korea Regulatory submission on PRT INT-7</t>
  </si>
  <si>
    <t xml:space="preserve">42160443PAI2004 Korea Regulatory notification on ICF addendum 4 and LTM change</t>
  </si>
  <si>
    <t xml:space="preserve">42160443PAI2004 Korea Regulatory notification on SUAs</t>
  </si>
  <si>
    <t xml:space="preserve">42160443PAI2004 Korea Regulatory &lt;non clinical report attachment2&gt;</t>
  </si>
  <si>
    <t xml:space="preserve">42160443PAI2004 Korea Regulatory notification on Preclinical study report_17Mar2011</t>
  </si>
  <si>
    <t xml:space="preserve">42160443PAI2004 Korea Regulatory notification on changing ICF addendum v5.0_22Mar2011</t>
  </si>
  <si>
    <t xml:space="preserve">42160443PAI2004 Korea Regulatory notification on clinical study status report_22Feb2011</t>
  </si>
  <si>
    <t xml:space="preserve">42160443PAI2004 Korea Regulatory notification on updating IB edition 5 addendum 1.0_31Mar2011</t>
  </si>
  <si>
    <t xml:space="preserve">42160443PAI2004 Korea Regulatory notification_20100802389(4)_16Feb2011</t>
  </si>
  <si>
    <t xml:space="preserve">42160443PAI2004 Korea Regulatory notification_20100802389(5)_11Mar2011</t>
  </si>
  <si>
    <t xml:space="preserve">42160443PAI2004 Korea Regulatory notification_20101002262(6)_10Feb2011</t>
  </si>
  <si>
    <t xml:space="preserve">42160443PAI2004 Korea Regulatory notification_20101003945(4)_10Feb2011</t>
  </si>
  <si>
    <t xml:space="preserve">42160443PAI2004 Korea Regulatory notification_20101003945(6)_17Mar2011</t>
  </si>
  <si>
    <t xml:space="preserve">42160443PAI2004 Korea Regulatory notification_20101006444(2)_07Feb2011</t>
  </si>
  <si>
    <t xml:space="preserve">42160443PAI2004 Korea Regulatory notification_20101006444(3)_10Feb2011</t>
  </si>
  <si>
    <t xml:space="preserve">42160443PAI2004 Korea Regulatory notification_20101007745(3)_10Feb2011</t>
  </si>
  <si>
    <t xml:space="preserve">42160443PAI2004 Korea Regulatory notification_20101101137(4)_16Feb2011</t>
  </si>
  <si>
    <t xml:space="preserve">42160443PAI2004 Korea Regulatory notification_20101101137(6)_04Apr2011</t>
  </si>
  <si>
    <t xml:space="preserve">42160443PAI2004 Korea Regulatory notification_20101101137(7)_15Apr2011</t>
  </si>
  <si>
    <t xml:space="preserve">42160443PAI2004 Korea Regulatory notification_20101208725(2)_16Feb2011</t>
  </si>
  <si>
    <t xml:space="preserve">42160443PAI2004 Korea Regulatory notification_20101208725(4)_04Apr2011</t>
  </si>
  <si>
    <t xml:space="preserve">42160443PAI2004 Korea Regulatory notification_20110102478(2)_07Feb2011</t>
  </si>
  <si>
    <t xml:space="preserve">42160443PAI2004 Korea Regulatory notification_20110102478(3)_25Mar2011</t>
  </si>
  <si>
    <t xml:space="preserve">42160443PAI2004 Korea Regulatory notification_20110102478(4)_10Jun2011</t>
  </si>
  <si>
    <t xml:space="preserve">42160443PAI2004 Korea Regulatory notification_20110102478(5)_15Jul2011</t>
  </si>
  <si>
    <t xml:space="preserve">42160443PAI2004 Korea Regulatory notification_20110106239(1)_09Apr2011</t>
  </si>
  <si>
    <t xml:space="preserve">42160443PAI2004 Korea Regulatory notification_20110301505(0)_09Mar2011</t>
  </si>
  <si>
    <t xml:space="preserve">42160443PAI2004 Korea Regulatory notification_20110301505(1)_28Mar2011</t>
  </si>
  <si>
    <t xml:space="preserve">42160443PAI2004 Korea Regulatory notification_20110301505(2)_15Apr2011</t>
  </si>
  <si>
    <t xml:space="preserve">42160443PAI2004 Korea Regulatory notification_20110301505(3)_16May2011</t>
  </si>
  <si>
    <t xml:space="preserve">42160443PAI2004 Korea Regulatory notification_20110301505(4)_04Jul2011</t>
  </si>
  <si>
    <t xml:space="preserve">42160443PAI2004 Korea Regulatory notification_20110301856(0)_09Mar2011</t>
  </si>
  <si>
    <t xml:space="preserve">42160443PAI2004 Korea Regulatory notification_20110301856(1)_28Mar2011</t>
  </si>
  <si>
    <t xml:space="preserve">42160443PAI2004 Korea Regulatory notification_20110301856(2)_18Apr2011</t>
  </si>
  <si>
    <t xml:space="preserve">42160443PAI2004 Korea Regulatory notification_20110301856(3)_16May2011</t>
  </si>
  <si>
    <t xml:space="preserve">42160443PAI2004 Korea Regulatory notification_20110305931(0)_21Mar2011</t>
  </si>
  <si>
    <t xml:space="preserve">42160443PAI2004 Korea Regulatory notification_20110305931(1)_15Apr2011</t>
  </si>
  <si>
    <t xml:space="preserve">42160443PAI2004 Korea Regulatory notification_20110306430(0)_23Mar2011</t>
  </si>
  <si>
    <t xml:space="preserve">42160443PAI2004 Korea Regulatory notification_20110404261(0)_21Apr2011</t>
  </si>
  <si>
    <t xml:space="preserve">42160443PAI2004 Korea Regulatory notification_20110404261(1)_02May2011</t>
  </si>
  <si>
    <t xml:space="preserve">42160443PAI2004 Korea Regulatory notification_20110404261(2)_20May2011</t>
  </si>
  <si>
    <t xml:space="preserve">42160443PAI2004 Korea Regulatory notification_20110408328(1)_02May2011</t>
  </si>
  <si>
    <t xml:space="preserve">42160443PAI2004 Korea Regulatory notification_20110408328(2)_13May2011</t>
  </si>
  <si>
    <t xml:space="preserve">42160443PAI2004 Korea Regulatory notification_20110408328(4)_26May2011</t>
  </si>
  <si>
    <t xml:space="preserve">42160443PAI2004 Korea Regulatory notification_20110409917(1)_29Apr2011</t>
  </si>
  <si>
    <t xml:space="preserve">42160443PAI2004 Korea Regulatory notification_20110409917(2)_16Jun2011</t>
  </si>
  <si>
    <t xml:space="preserve">42160443PAI2004 Korea Regulatory notification_20110409917(3)_22Jun2011</t>
  </si>
  <si>
    <t xml:space="preserve">42160443PAI2004 Korea Regulatory notification_20110409917(4)_04Jul2011</t>
  </si>
  <si>
    <t xml:space="preserve">42160443PAI2004 Korea Regulatory notification_20110409917(5)_12Jul2011</t>
  </si>
  <si>
    <t xml:space="preserve">42160443PAI2004 Korea Regulatory notification_20110409917(6)_31Aug2011</t>
  </si>
  <si>
    <t xml:space="preserve">42160443PAI2004 Korea Regulatory notification_20110410538(0)_02May2011</t>
  </si>
  <si>
    <t xml:space="preserve">42160443PAI2004 Korea Regulatory notification_20110410538(1)_13May2011</t>
  </si>
  <si>
    <t xml:space="preserve">42160443PAI2004 Korea Regulatory notification_20110410538(2)_04Jul2011</t>
  </si>
  <si>
    <t xml:space="preserve">42160443PAI2004 Korea Regulatory notification_20110410562(3)_02Aug2011</t>
  </si>
  <si>
    <t xml:space="preserve">42160443PAI2004 Korea Regulatory notification_20110504693(1)_20May2011</t>
  </si>
  <si>
    <t xml:space="preserve">42160443PAI2004 Korea Regulatory notification_20110504693(2)_26May2011</t>
  </si>
  <si>
    <t xml:space="preserve">42160443PAI2004 Korea Regulatory notification_20110506571(1)_30May2011</t>
  </si>
  <si>
    <t xml:space="preserve">42160443PAI2004 Korea Regulatory notification_20110506571(4)_10Jun2011</t>
  </si>
  <si>
    <t xml:space="preserve">42160443PAI2004 Korea Regulatory notification_20110506571(4)_16Jun2011</t>
  </si>
  <si>
    <t xml:space="preserve">42160443PAI2004 Korea Regulatory notification_20110506571(5)_12Jul2011</t>
  </si>
  <si>
    <t xml:space="preserve">42160443PAI2004 Korea Regulatory notification_20110509766(0)_30May2011</t>
  </si>
  <si>
    <t xml:space="preserve">42160443PAI2004 Korea Regulatory notification_20110509766(1)_14Jun2011</t>
  </si>
  <si>
    <t xml:space="preserve">42160443PAI2004 Korea Regulatory notification_20110509766(2)_16Jun2011</t>
  </si>
  <si>
    <t xml:space="preserve">42160443PAI2004 Korea Regulatory notification_20110509766(3)_04Jul2011</t>
  </si>
  <si>
    <t xml:space="preserve">42160443PAI2004 Korea Regulatory notification_20110509766(4)_12Jul2011</t>
  </si>
  <si>
    <t xml:space="preserve">42160443PAI2004 Korea Regulatory notification_20110509766(5)_15Jul2011</t>
  </si>
  <si>
    <t xml:space="preserve">42160443PAI2004 Korea Regulatory notification_20110602607(0)_14Jun2011</t>
  </si>
  <si>
    <t xml:space="preserve">42160443PAI2004 Korea Regulatory notification_20110602607(1)_15Jun2011</t>
  </si>
  <si>
    <t xml:space="preserve">42160443PAI2004 Korea Regulatory notification_20110602607(3)_24Aug2011_2</t>
  </si>
  <si>
    <t xml:space="preserve">42160443PAI2004 Korea Regulatory notification_20110602607(3)_24Aug2011</t>
  </si>
  <si>
    <t xml:space="preserve">42160443PAI2004 Korea Regulatory notification_20110612672(1)_19Jul2011</t>
  </si>
  <si>
    <t xml:space="preserve">42160443PAI2004 Korea Regulatory notification_20110612672(2)_24Aug2011</t>
  </si>
  <si>
    <t xml:space="preserve">42160443PAI2004 Korea Regulatory notification_20110612672(3)_31Aug2011</t>
  </si>
  <si>
    <t xml:space="preserve">42160443PAI2004 Korea Regulatory notification_20110809029(1)_31Aug2011</t>
  </si>
  <si>
    <t xml:space="preserve">42160443PAI2004 Korea Regulatory notification_20110809572(0)_31Aug2011</t>
  </si>
  <si>
    <t xml:space="preserve">42160443PAI2004 Korea Regulatory notification_Destruction of lab kit_26Jul2011</t>
  </si>
  <si>
    <t xml:space="preserve">42160443PAI2004 Korea Regulatory notification_End of Trial Notification_01Jul2011</t>
  </si>
  <si>
    <t xml:space="preserve">42160443PAI2004 Korea Regulatory notification_IB #5 addendum 2.0_16Jun2011</t>
  </si>
  <si>
    <t xml:space="preserve">42160443PAI2004 Korea Regulatory notification_ICF addendum 6.0, Indemnity statement_25Apr2011</t>
  </si>
  <si>
    <t xml:space="preserve">42160443PAI2004 Korea Regulatory notification_INT-8_28Apr2011</t>
  </si>
  <si>
    <t xml:space="preserve">42160443PAI2004 Korea Regulatory notification_INT-9, ICF addendum 7.0_23Aug2011</t>
  </si>
  <si>
    <t xml:space="preserve">42160443PAI2004 Korea Regulatory notification of INT-2.1, ICF 4.0</t>
  </si>
  <si>
    <t xml:space="preserve">42160443PAI2004 Korea Regulatory Notification_SUA_20110612672(7)_07NOV2011</t>
  </si>
  <si>
    <t xml:space="preserve">42160443PAI2004 Korea Regulatory Notification_SUA_20110809572(4)_14OCT2011</t>
  </si>
  <si>
    <t xml:space="preserve">42160443PAI2004 Korea Regulatory Notification_SUA_20110809572(5)_07NOV2011</t>
  </si>
  <si>
    <t xml:space="preserve">42160443PAI2004 Korea Regulatory Notification_SUA_20110905712(2)_17NOV2011</t>
  </si>
  <si>
    <t xml:space="preserve">42160443PAI2004 Korea Regulatory Notification_SUA_20110905712(4)_15DEC2011</t>
  </si>
  <si>
    <t xml:space="preserve">42160443PAI2004 Korea Regulatory Notification_SUA_20111008476(1)_07NOV2011</t>
  </si>
  <si>
    <t xml:space="preserve">42160443PAI2004 Korea Regulatory Notification_SUA_20111008476(2)_15DEC2011</t>
  </si>
  <si>
    <t xml:space="preserve">IRB/IEC and other Approvals</t>
  </si>
  <si>
    <t xml:space="preserve">42160443PAI2004 Korea  Approval &amp; Submission letter_ICF v3.1.0, Patient reported outcome_07Oct2009_Eulji univ. Hospital</t>
  </si>
  <si>
    <t xml:space="preserve">42160443PAI2004 Korea Approval &amp; Submission letter_Kor Prt v2.1, ICF v4.0.0, add CRC_02Dec2009_Eulji univ. Hospital</t>
  </si>
  <si>
    <t xml:space="preserve">42160443PAI2004 Korea Approval &amp; Submission letter_SAE #1_17Feb2010_Eulji univ. Hospital</t>
  </si>
  <si>
    <t xml:space="preserve">42160443PAI2004 Korea Approval letter_EoT_11Jun2010_Han-yang Univ. Hospital</t>
  </si>
  <si>
    <t xml:space="preserve">42160443PAI2004 Korea Approval letter_EoT_11Jun2010_Severance Hospital</t>
  </si>
  <si>
    <t xml:space="preserve">42160443PAI2004 Korea Approval letter_EoT_12Mar2010_Dong-A univ. Hospital</t>
  </si>
  <si>
    <t xml:space="preserve">42160443PAI2004 Korea Approval letter_inital_02Sep2009_Eulji univ. Hospital</t>
  </si>
  <si>
    <t xml:space="preserve">42160443PAI2004 Korea Approval letter_reply to conditional approval letter_09Nov2009_Seoul National univ. Hospital</t>
  </si>
  <si>
    <t xml:space="preserve">42160443PAI2004 Korea Conditional Approval letter_initial_23Sep2009_Seoul National univ. Hospital</t>
  </si>
  <si>
    <t xml:space="preserve">42160443PAI2004 Korea Approval letter of 082404_03Dec2009</t>
  </si>
  <si>
    <t xml:space="preserve">42160443PAI2004 Korea approval letter of 082408_22Oct2009</t>
  </si>
  <si>
    <t xml:space="preserve">42160443PAI2004 Korea approval letter 082402 02Sep2009</t>
  </si>
  <si>
    <t xml:space="preserve">HA Notification of Non-Approval_03Jun2022</t>
  </si>
  <si>
    <t xml:space="preserve">HA Approval_MFDS 1st official comment to Resubmission_04Oct2022</t>
  </si>
  <si>
    <t xml:space="preserve">HA Approval_Amendment_PA4 &amp; KOR Protocol v3_12Oct2023</t>
  </si>
  <si>
    <t xml:space="preserve">HA Approval_Initial_Protocol KOR v1_15Dec2022</t>
  </si>
  <si>
    <t xml:space="preserve">Regulatory Approval_MFDS_23 Apr 2024</t>
  </si>
  <si>
    <t xml:space="preserve">HA Approval_MFDS 1st offical comment_23Feb2022</t>
  </si>
  <si>
    <t xml:space="preserve">HA Approval_Amendment_IMPD EDMS-RIM-950633 v1.0_24Mar2023</t>
  </si>
  <si>
    <t xml:space="preserve">HA Approval_Amendment_Protocol KOR v2_25Jan2023</t>
  </si>
  <si>
    <t xml:space="preserve">HA Approval_MFDS 2nd offical comment_27Apr2022</t>
  </si>
  <si>
    <t xml:space="preserve">HA Approval_notification for extension of processing period_30MAR2022</t>
  </si>
  <si>
    <t xml:space="preserve">Approval letter_Amend_Korv5.0_02Aug2017</t>
  </si>
  <si>
    <t xml:space="preserve">HA Approval letter_DDI Sub-study participation_02Mar2021</t>
  </si>
  <si>
    <t xml:space="preserve">42756493BLC2001_MFDS approval letter_19May2015</t>
  </si>
  <si>
    <t xml:space="preserve">BLC2001_Approval letter_11Sep2015</t>
  </si>
  <si>
    <t xml:space="preserve">42756493BLC2001 Supplement request notification letter_14Apr2015</t>
  </si>
  <si>
    <t xml:space="preserve">HA Approval_Amendment_Protocol V7.0_14Aug2019</t>
  </si>
  <si>
    <t xml:space="preserve">HA Approval Letter_PRT V8.0_16Oct2020</t>
  </si>
  <si>
    <t xml:space="preserve">BLC2001 Approval letter_09Nov2016</t>
  </si>
  <si>
    <t xml:space="preserve">HA Approval_IMPD(Cetrelimab)_01Nov2022</t>
  </si>
  <si>
    <t xml:space="preserve">HA Approval_Supplementation requested for IMPD update_JNJ-42756493_02Sep2019</t>
  </si>
  <si>
    <t xml:space="preserve">HA Approval_PA5 KOR-1 Korean ver 7 22Sep2022_04Oct2022</t>
  </si>
  <si>
    <t xml:space="preserve">PA6 KOR-2 Korean V9 MFDS approval_06 Feb 2024</t>
  </si>
  <si>
    <t xml:space="preserve">HA Approval Letter_Protocol amendment 3_13Oct2020</t>
  </si>
  <si>
    <t xml:space="preserve">HA Approval_IMPD(CetrelimaB)_14Feb2022</t>
  </si>
  <si>
    <t xml:space="preserve">HA Approval_PA5 KOR-2 Korean ver 8 07Nov2022_15Dec2022</t>
  </si>
  <si>
    <t xml:space="preserve">HA Approval_Amendment_Modification required_Protocol Kor v2.0, IMPD_20Sep2019</t>
  </si>
  <si>
    <t xml:space="preserve">HA Approval Letter_Initial_26Feb2019</t>
  </si>
  <si>
    <t xml:space="preserve">HA Approval Letter_Protocol KOR version 5_29Jun2021</t>
  </si>
  <si>
    <t xml:space="preserve">HA Approval_Cetrelimab IMPD(EDMS-ERI-186429156 4.0)_30Dec2020</t>
  </si>
  <si>
    <t xml:space="preserve">HA Approval_ MFDS Initial Approval_03FEB2020</t>
  </si>
  <si>
    <t xml:space="preserve">Local regulatory approval_Protocol amendment 3, Gemcitabine IMPD update_08Jan2021</t>
  </si>
  <si>
    <t xml:space="preserve">Regulatory Approval_Protocol Amendment 05_10-Dec-2021</t>
  </si>
  <si>
    <t xml:space="preserve">HA approval Protocol Amend6_17Oct2023</t>
  </si>
  <si>
    <t xml:space="preserve">Local HA approval_Application #20200094499_Protocol amendment 2, IMPD</t>
  </si>
  <si>
    <t xml:space="preserve">Regulatory Approval_Protocol Amendment 4 (USM)</t>
  </si>
  <si>
    <t xml:space="preserve">230899 KOR 20180305 RA approval MFDS PA1 Amd IMPD</t>
  </si>
  <si>
    <t xml:space="preserve">230899 KOR 20180831 RA Approval MFDS Amd for PA2 and ICF</t>
  </si>
  <si>
    <t xml:space="preserve">MFDS approval letter_Protocol amendment 6</t>
  </si>
  <si>
    <t xml:space="preserve">Local regulatory approval_IMPD EDMS-RIM-316946_1.0_14Sep2021</t>
  </si>
  <si>
    <t xml:space="preserve">Local regulatory approval_Protocol amendment 5_20Jul2021</t>
  </si>
  <si>
    <t xml:space="preserve">HA Approval_Amendment_IMPD_20Sep2019</t>
  </si>
  <si>
    <t xml:space="preserve">PA03_ICFv5.0_HA Approval_25Apr2019</t>
  </si>
  <si>
    <t xml:space="preserve">42756493CAN2002 RA Approval letter(Combined)_IMPD_26Nov2019</t>
  </si>
  <si>
    <t xml:space="preserve">HA Approval Letter_Protocol Amendment 4_29Jun2020</t>
  </si>
  <si>
    <t xml:space="preserve">Regulatory Approval_MFDS_12 Apr 2024</t>
  </si>
  <si>
    <t xml:space="preserve">HA approval letter_Protocol amendment 3_03Dec2021</t>
  </si>
  <si>
    <t xml:space="preserve">HA Approval_conditional_1st_04NOV2019</t>
  </si>
  <si>
    <t xml:space="preserve">HA approval_Protocol amendment 2_13Nov2020</t>
  </si>
  <si>
    <t xml:space="preserve">HA approval letter_IMPD and company representative name update_14Sep2021</t>
  </si>
  <si>
    <t xml:space="preserve">HA Approval_Initial_26NOV2019</t>
  </si>
  <si>
    <t xml:space="preserve">MFDS approval letter_17Jul2015</t>
  </si>
  <si>
    <t xml:space="preserve">INT-9 approval_15FEB2016</t>
  </si>
  <si>
    <t xml:space="preserve">INT-9 MFDS letter_INT-9_15Feb2016</t>
  </si>
  <si>
    <t xml:space="preserve">INT-7 MFDS letter for approval 17Jul2015</t>
  </si>
  <si>
    <t xml:space="preserve">PRT INT-2 amendment approval_09Jan2017</t>
  </si>
  <si>
    <t xml:space="preserve">HA approval letter_#01_Approval_26Feb2016</t>
  </si>
  <si>
    <t xml:space="preserve">HA approval letter_#01_deficiency_18Jan2016</t>
  </si>
  <si>
    <t xml:space="preserve">IMPD</t>
  </si>
  <si>
    <t xml:space="preserve">MFDS approval letter_30559_Protocol amendment 1/Kor-2_28Dec2016</t>
  </si>
  <si>
    <t xml:space="preserve">LUC2001 HA approval_Protocol Kor version 5.0_28Mar2018_Main ICF 4.1_06Mar2018</t>
  </si>
  <si>
    <t xml:space="preserve">MFDS Approval Letter_IMPD_08Sep2017</t>
  </si>
  <si>
    <t xml:space="preserve">HA Approval_Amendment(Korea protocol version 6)_12Aug2021</t>
  </si>
  <si>
    <t xml:space="preserve">MFDS official approval letter_08Mar2016</t>
  </si>
  <si>
    <t xml:space="preserve">MFDS PA Ver 6.2 approval letter_05Apr2021</t>
  </si>
  <si>
    <t xml:space="preserve">5371867RSV2002 MFDS 1st comment letter_14Nov2018.</t>
  </si>
  <si>
    <t xml:space="preserve">53718678RSV2002 IMPD amendment approval letter_14Jan2020</t>
  </si>
  <si>
    <t xml:space="preserve">53718678RSV2002 Protocol Amendment 5 MFDS approval letter_14Sep2020</t>
  </si>
  <si>
    <t xml:space="preserve">53718678RSV2002 MFDS intial approval letter 18Dec2018</t>
  </si>
  <si>
    <t xml:space="preserve">HA Approval_22-897_kit_laboratory testing_type2i_18 Mar2022</t>
  </si>
  <si>
    <t xml:space="preserve">MFDS PA v5.2 approval letter_19Nov2020</t>
  </si>
  <si>
    <t xml:space="preserve">DAF_53718678RSV2002 core 20220420 stop CovLttr EDMS-RIM-289403_3.0</t>
  </si>
  <si>
    <t xml:space="preserve">53718678RSV2002 PRT Amend &amp; IMPD approval letter_24Jul2019</t>
  </si>
  <si>
    <t xml:space="preserve">53718678RSV2002 Protocol Amendment 2 approval letter_25Sep2019</t>
  </si>
  <si>
    <t xml:space="preserve">53718678RSV2004 MFDS PA 1 approval letter_03Jul2019</t>
  </si>
  <si>
    <t xml:space="preserve">53718678RSV2004 MFDS Initial approval letter_23Jan2018</t>
  </si>
  <si>
    <t xml:space="preserve">HA approval letter_53718678RSV2005_SL 24M extension 02Dec2019</t>
  </si>
  <si>
    <t xml:space="preserve">RA Approval_Protocol Amendment5_03Nov2020</t>
  </si>
  <si>
    <t xml:space="preserve">53718678RSV2005_HA Notification_Study restart_10Nov2020</t>
  </si>
  <si>
    <t xml:space="preserve">HA approval letter IMPD_EDMS-ERI-197162911 v1_22Jan2020</t>
  </si>
  <si>
    <t xml:space="preserve">MFDS official deficiency letter_25Sep2019</t>
  </si>
  <si>
    <t xml:space="preserve">HA Approval_PA6_Korean PRT v4_IMPD_30Aug2021</t>
  </si>
  <si>
    <t xml:space="preserve">MFDS approval letter_initial_30Oct2019</t>
  </si>
  <si>
    <t xml:space="preserve">HA Approval_Korean Ver1_05Oct2021</t>
  </si>
  <si>
    <t xml:space="preserve">HA Approval_Initial_1st HA comment _13Aug2021</t>
  </si>
  <si>
    <t xml:space="preserve">HA Approval_Initial_2nd HA comment _16Sep2021</t>
  </si>
  <si>
    <t xml:space="preserve">3.1.2. [Approval] 5. 20180037353_permit+treatment report_04Apr2018</t>
  </si>
  <si>
    <t xml:space="preserve">Trial Approval_IMPD, ICF, Indemnity</t>
  </si>
  <si>
    <t xml:space="preserve">3.1.2. [Approval] 6. 20170232279_Processing document + license_22Nov2017</t>
  </si>
  <si>
    <t xml:space="preserve">HA Approval_28Dec2020</t>
  </si>
  <si>
    <t xml:space="preserve">Approval_Protocol AMD3/KOR4_30-Jul-2019</t>
  </si>
  <si>
    <t xml:space="preserve">HA  initial Approval_06Aug2020</t>
  </si>
  <si>
    <t xml:space="preserve">HA Approval_Protocol Amd 1_ICF V2_12 Jan2021</t>
  </si>
  <si>
    <t xml:space="preserve">MFDS Approval Letter_16Dec2016</t>
  </si>
  <si>
    <t xml:space="preserve">HA Approval_Protocol Amend 6_15Dec2020</t>
  </si>
  <si>
    <t xml:space="preserve">MFDS Approval letter_Complementary  Approval_16Mar2018</t>
  </si>
  <si>
    <t xml:space="preserve">HA approval letter_17Aug2018</t>
  </si>
  <si>
    <t xml:space="preserve">HA Approval_Amendment_Ibrutinib IMPD_17Oct2019</t>
  </si>
  <si>
    <t xml:space="preserve">[LYM3003] HA Approval_PRT V5_26Mar2020</t>
  </si>
  <si>
    <t xml:space="preserve">MFDA Approval letter_RVICI and ICF v6.3_approval letter_28May2018</t>
  </si>
  <si>
    <t xml:space="preserve">MFDS Approval letter_Protocol Amd3(Kor v3.0) approval letter_21Sep2017</t>
  </si>
  <si>
    <t xml:space="preserve">MFDS Approval letter_IMP update_Approval Letter _05Sep2017</t>
  </si>
  <si>
    <t xml:space="preserve">MFDS Approval letter_Protocol Amd2_Approval_25Jul2017</t>
  </si>
  <si>
    <t xml:space="preserve">AMY3001_MFDS Approval Letter_PRT INT-3 (KOR v5)_03Jan2020</t>
  </si>
  <si>
    <t xml:space="preserve">54767414AMY3001_Korean Protocol Ver. 3.0, CS ICF Ver. 4.0_09Jan2019</t>
  </si>
  <si>
    <t xml:space="preserve">Approval Letter_PRT INT-1</t>
  </si>
  <si>
    <t xml:space="preserve">54767414AMY3001_HA approval Letter_PRT INT 2, CS ICF 5.0</t>
  </si>
  <si>
    <t xml:space="preserve">Approval Letter_IMPD_SC_EDMS_ERI_154020315_16Apr2018</t>
  </si>
  <si>
    <t xml:space="preserve">Request to further response_IMPD_18Jul2019</t>
  </si>
  <si>
    <t xml:space="preserve">Approval Letter_Initial submission</t>
  </si>
  <si>
    <t xml:space="preserve">Approval Letter_IMPD_Retest date_25Nov2019</t>
  </si>
  <si>
    <t xml:space="preserve">Approval Letter_IMPD_SC_EDMS_ERI_158426848_26Oct2018</t>
  </si>
  <si>
    <t xml:space="preserve">Approval Letter_IMPD_30Aug2019</t>
  </si>
  <si>
    <t xml:space="preserve">54767414LYM2001-KOR--Approval_Approval letter_Full version_ver.2.0_24May2016</t>
  </si>
  <si>
    <t xml:space="preserve">54767414MMY3003 Korea Regulatory approval letter_INT-1_01Sep2014</t>
  </si>
  <si>
    <t xml:space="preserve">54767414MMY3003 Korea Regulatory approval letter_INT-2_27Feb2015</t>
  </si>
  <si>
    <t xml:space="preserve">MMY3003_Approval letter_Korean Protocol v4.1</t>
  </si>
  <si>
    <t xml:space="preserve">MMY3003_Official letter_IMPD(submitted in MMY3004)</t>
  </si>
  <si>
    <t xml:space="preserve">MFDS Approval Letter_Amendment_Protocol INT-9 &amp; KOR v10.1_05Aug2021</t>
  </si>
  <si>
    <t xml:space="preserve">54767414MMY3003_import license for lab kit_03Nov2015</t>
  </si>
  <si>
    <t xml:space="preserve">54767414MMY3003_HA Approval letter_ Amendment_Protocol v7.1_09Jan2019</t>
  </si>
  <si>
    <t xml:space="preserve">54767414MMY3003_MFDS approval letter_24May2016_IMPD change</t>
  </si>
  <si>
    <t xml:space="preserve">IMPD approval letter 16Apr2018</t>
  </si>
  <si>
    <t xml:space="preserve">MFDS Approval Letter_Amendment_PRT INT-8 &amp; KOR v9.1_18Jun2020</t>
  </si>
  <si>
    <t xml:space="preserve">Approval letter_import license for lab kit_05Dec2014</t>
  </si>
  <si>
    <t xml:space="preserve">Approval letter_import license for lab kit_09Mar2015</t>
  </si>
  <si>
    <t xml:space="preserve">MMY3003_MFDS_KOR PRT 5.1_01Feb2017</t>
  </si>
  <si>
    <t xml:space="preserve">Change of Janssen Korea Representative_27Feb2018</t>
  </si>
  <si>
    <t xml:space="preserve">54767414MMY3003 Korea Regulatory request for supplementation</t>
  </si>
  <si>
    <t xml:space="preserve">54767414MMY3003_MFDS official letter &amp; approval letter_IMPD change_24May2016</t>
  </si>
  <si>
    <t xml:space="preserve">54767414MMY3003 Korea Regulatory initial submission_28Apr2014</t>
  </si>
  <si>
    <t xml:space="preserve">54767414MMY3003 Korea Regulatory approval for initial Protocol submission</t>
  </si>
  <si>
    <t xml:space="preserve">54767414MMY3004 Korea Regulatory notification_IB 11_04DEC2014</t>
  </si>
  <si>
    <t xml:space="preserve">54767414MMY3004 Korea Regulatory_Initial CTA Submission letter_22JUL2014</t>
  </si>
  <si>
    <t xml:space="preserve">54767414MMY3004 Korea Regulatory approval or notification_Official Responses of Deficiency_27AUG2014</t>
  </si>
  <si>
    <t xml:space="preserve">54767414MMY3004 Korea Regulatory approval or notification_PI change(DH Yoon, BS Kim)_31DEC2014</t>
  </si>
  <si>
    <t xml:space="preserve">54767414MMY3004 Korea Regulatory approval or notification_Deficiency Letter_12AUG2014</t>
  </si>
  <si>
    <t xml:space="preserve">54767414MMY3004 Korea Regulatory approval or notification_Lab Kit Import Permit_16OCT2014</t>
  </si>
  <si>
    <t xml:space="preserve">MMY3004_Approval letter_Korean Protocol v3.0 and ICF v6.2_20160929</t>
  </si>
  <si>
    <t xml:space="preserve">54767414MMY3004_HA Approval letter Amendment_Protocol v5.0_09Jan2019</t>
  </si>
  <si>
    <t xml:space="preserve">MFDS Approval Letter_Amendment_Protocol KOR v6.0, CS ICF v10.3, etc._09-SEP-2019</t>
  </si>
  <si>
    <t xml:space="preserve">MFDS Approval Letter_Amendment_Protocol INT-7 &amp; KOR v8.0_16Jun2021</t>
  </si>
  <si>
    <t xml:space="preserve">MFDS Approval Letter_Amendment_Protocol INT-6 &amp; KOR v7.0_18Jun2020</t>
  </si>
  <si>
    <t xml:space="preserve">MFDS approval on PRT INT-1 (Korean version 2.0_16Mar2015) &amp; CS ICF 16Mar2015</t>
  </si>
  <si>
    <t xml:space="preserve">MMY3004_MFDS approval letter_IMPD change 24May2016</t>
  </si>
  <si>
    <t xml:space="preserve">54767414MMY3004_Approval_import license for lab kit_30Oct2015</t>
  </si>
  <si>
    <t xml:space="preserve">54767414MMY3004 Korea Regulatory approval or notification_Initial CTA_22SEP2014</t>
  </si>
  <si>
    <t xml:space="preserve">54767414MMY3011_MFDS  initial approval_23Aug2017</t>
  </si>
  <si>
    <t xml:space="preserve">54767414MMY3011 MFDS official letter_23Aug2017</t>
  </si>
  <si>
    <t xml:space="preserve">Approval letter_PRT INT-1 Korean ver. 2.0</t>
  </si>
  <si>
    <t xml:space="preserve">Cover letter for approval_PRT INT-1 Korean ver. 2.0</t>
  </si>
  <si>
    <t xml:space="preserve">MFDS Approval Letter_Amendment for Approval_Protocol KOR v5, SC IMPD, etc_22Oct2020</t>
  </si>
  <si>
    <t xml:space="preserve">54767414MMY3011_MFDS Approval Letter_PRT INT-2. CS ICF 3.0</t>
  </si>
  <si>
    <t xml:space="preserve">Official Letter_PRT INT-2, KOR Ver 3.0, ICF, IB15&amp;Add1 to IB15_28Mar2019</t>
  </si>
  <si>
    <t xml:space="preserve">Approval Letter_RT INT-2, KOR Ver 3.0, ICF, IB15&amp;Add1 to IB15_29Jul2019</t>
  </si>
  <si>
    <t xml:space="preserve">54767414MMY3012_initial CTA HA approval_01Dec2017</t>
  </si>
  <si>
    <t xml:space="preserve">HA Approval letter_Amendment_Protocol v4.0 03Apr2020</t>
  </si>
  <si>
    <t xml:space="preserve">MMY3012_MFDS approval for protocol amendment 1_06Mar2018</t>
  </si>
  <si>
    <t xml:space="preserve">MMY3012_MFDS approval_Dara IV &amp; Dara SC IMPD update_16Apr2018</t>
  </si>
  <si>
    <t xml:space="preserve">MMY3012_Official letter for initial protocol package_Deficiency_20Oct2017</t>
  </si>
  <si>
    <t xml:space="preserve">HA Approval letter_Amendment_Protocol v5.0 25May2020</t>
  </si>
  <si>
    <t xml:space="preserve">Dara SC IMPD update_Approval_26Oct2018</t>
  </si>
  <si>
    <t xml:space="preserve">Protocol amendment 2_Korean version 3.0_Approval_29Oct2018</t>
  </si>
  <si>
    <t xml:space="preserve">54767414MMY3012_Amendment_IMPD approval 30Aug2019</t>
  </si>
  <si>
    <t xml:space="preserve">MMY3012_MFDS official letter_Dara SC IMPD update_Deficiency_30Jul2018</t>
  </si>
  <si>
    <t xml:space="preserve">54767414MMY3030_KR_PA01_Approval Letter_10Apr2023</t>
  </si>
  <si>
    <t xml:space="preserve">54767414MMY3030_KR_PA01_Approval Letter_10Apr2023_eng</t>
  </si>
  <si>
    <t xml:space="preserve">54767414MMY3030_KR_PA01_Approval Letter_10Apr2023_CoT</t>
  </si>
  <si>
    <t xml:space="preserve">54767414MMY3030_KR_PA02_Approval letter_17Oct2023</t>
  </si>
  <si>
    <t xml:space="preserve">54767414MMY3030_KR_PA02_Approval letter_17Oct2023_eng</t>
  </si>
  <si>
    <t xml:space="preserve">54767414MMY3030_KR_PA02_Approval letter_17Oct2023_CoT</t>
  </si>
  <si>
    <t xml:space="preserve">IND Approval_initial_26AUG2022_Korean</t>
  </si>
  <si>
    <t xml:space="preserve">South Korea_IND Approval_initial_26AUG2022_English</t>
  </si>
  <si>
    <t xml:space="preserve">South Korea_IND Approval CoT_initial_26AUG2022_English</t>
  </si>
  <si>
    <t xml:space="preserve">NKT2001_HA Approval Letter_PRT 5.0_01Apr2019</t>
  </si>
  <si>
    <t xml:space="preserve">HA Approval Letter_Amendment_Protocol KOR_Ver4.0_07Nov2018</t>
  </si>
  <si>
    <t xml:space="preserve">NKT2001_HA Approval Letter_PRT V6_11Dec2019</t>
  </si>
  <si>
    <t xml:space="preserve">Protocol ver.3.0 approval_13SEP2017</t>
  </si>
  <si>
    <t xml:space="preserve">KFDA initial approval_10NOV2016</t>
  </si>
  <si>
    <r>
      <rPr>
        <sz val="11"/>
        <color rgb="FF000000"/>
        <rFont val="Calibri"/>
        <family val="0"/>
        <charset val="1"/>
      </rPr>
      <t xml:space="preserve">NKT2001 </t>
    </r>
    <r>
      <rPr>
        <sz val="11"/>
        <color rgb="FF000000"/>
        <rFont val="Noto Sans CJK SC"/>
        <family val="2"/>
      </rPr>
      <t xml:space="preserve">식약처 공문</t>
    </r>
    <r>
      <rPr>
        <sz val="11"/>
        <color rgb="FF000000"/>
        <rFont val="Calibri"/>
        <family val="0"/>
        <charset val="1"/>
      </rPr>
      <t xml:space="preserve">_PRT ver.2.0 </t>
    </r>
    <r>
      <rPr>
        <sz val="11"/>
        <color rgb="FF000000"/>
        <rFont val="Noto Sans CJK SC"/>
        <family val="2"/>
      </rPr>
      <t xml:space="preserve">자진취하</t>
    </r>
    <r>
      <rPr>
        <sz val="11"/>
        <color rgb="FF000000"/>
        <rFont val="Calibri"/>
        <family val="0"/>
        <charset val="1"/>
      </rPr>
      <t xml:space="preserve">_23MAY2017</t>
    </r>
  </si>
  <si>
    <t xml:space="preserve">CTA amendment approval_retest36month_03Aug2017</t>
  </si>
  <si>
    <t xml:space="preserve">PCR3002_CTA initial approval letter_10Sep2015</t>
  </si>
  <si>
    <t xml:space="preserve">MFDS Approval Letter_PRT INT-4_12-NOV-2018</t>
  </si>
  <si>
    <t xml:space="preserve">HA approval letter_INT-2_20170418</t>
  </si>
  <si>
    <t xml:space="preserve">Approval Notification Letter_INT-2_18APR2017</t>
  </si>
  <si>
    <t xml:space="preserve">Approval Letter_Protocol INT-1_18Jul2016</t>
  </si>
  <si>
    <t xml:space="preserve">Approval Notification Letter_Protocol INT-1_18Jul2016</t>
  </si>
  <si>
    <t xml:space="preserve">ARN-509-004_IND AM8_IMPD_MFDS approval_23Apr2018</t>
  </si>
  <si>
    <t xml:space="preserve">HA Approval Letter_Protocol AMD5</t>
  </si>
  <si>
    <t xml:space="preserve">PCR3002_Protocol INT-3_approval letter_25May2018</t>
  </si>
  <si>
    <t xml:space="preserve">Approval Letter_CTA amendment approval_retest_36month_03Aug2017</t>
  </si>
  <si>
    <t xml:space="preserve">MFDS amendment approval letter_Bicalutamide_IMPD_03Jul2018</t>
  </si>
  <si>
    <t xml:space="preserve">MFDS Approval letter for Protocol Amendment 2_Korean 3.0_07Jan2021</t>
  </si>
  <si>
    <t xml:space="preserve">Initial approval letter_15Mar2016</t>
  </si>
  <si>
    <t xml:space="preserve">MFDS Approval_PA 3 Korean V4 dated 07Jun2022</t>
  </si>
  <si>
    <t xml:space="preserve">MFDS amendment approval letter_Apalutamide IMPD_23Apr2018</t>
  </si>
  <si>
    <t xml:space="preserve">Approval Letter_Protocol INT-1(Protocol KOR v2.0, ICF3.0)</t>
  </si>
  <si>
    <t xml:space="preserve">CMC change approval_20160429</t>
  </si>
  <si>
    <t xml:space="preserve">Approval letter_PA6_02-Mar-2022</t>
  </si>
  <si>
    <t xml:space="preserve">HA Approval_Amendment 04 (Kor v5.0)_07May2021</t>
  </si>
  <si>
    <t xml:space="preserve">HA Approval_PA02(Kor v3.0)_10Jun2020</t>
  </si>
  <si>
    <t xml:space="preserve">HA Approval_PA01_13Jun2019</t>
  </si>
  <si>
    <t xml:space="preserve">HA Approval_Amendment 02 (Kor v4.0)_17Feb2021</t>
  </si>
  <si>
    <t xml:space="preserve">HA Approval_IMPD_17Jun2019</t>
  </si>
  <si>
    <t xml:space="preserve">HA Approval_Amendment 05(KOR V6)_19Aug2021</t>
  </si>
  <si>
    <t xml:space="preserve">HA Approval_Initial_25Feb2019</t>
  </si>
  <si>
    <t xml:space="preserve">Approval letter_PA7_26Jul2022</t>
  </si>
  <si>
    <t xml:space="preserve">56022473AML2002_HA Approval Letter_PRT V7</t>
  </si>
  <si>
    <t xml:space="preserve">AML2002_PRT V6 amendment MFDS approval_24Oct2017</t>
  </si>
  <si>
    <t xml:space="preserve">56022473AML2002_HA Approval Letter_PRT V7_08Jan2018</t>
  </si>
  <si>
    <t xml:space="preserve">56022473AML2002_PROTOCOL v5.0 AMENDMENT_Approval_19May2017</t>
  </si>
  <si>
    <t xml:space="preserve">[AML2002] Initial HA Approval Letter_20161103</t>
  </si>
  <si>
    <t xml:space="preserve">MFDS amendment approval letter_IMPD, ICF2.0, impurity investigator letter_08Nov2016</t>
  </si>
  <si>
    <t xml:space="preserve">Approval Letter_IMPD(Apalutamide/Placebo)_17Jun2019</t>
  </si>
  <si>
    <t xml:space="preserve">17000139BLC2002_IND amd 1 (PA1, ICF, TAR-200 IMPD)_Approval_CoT (Approval of TAR-200 IMPD v9 for BLC2001 &amp; 3001 as well)</t>
  </si>
  <si>
    <t xml:space="preserve">17000139BLC2002_IND amd 1 (PA1, ICF, TAR-200 IMPD)_Approval_Eng (Approval of TAR-200 IMPD v9 for BLC2001 &amp; 3001 as well)</t>
  </si>
  <si>
    <t xml:space="preserve">17000139BLC2002_IND amd 1 (PA1, ICF, TAR-200 IMPD)_Approval_Kor (Approval of TAR-200 IMPD v9 for BLC2001 &amp; 3001 as well)</t>
  </si>
  <si>
    <t xml:space="preserve">17000139BLC3001_CET IMPD 360mg etc._Approval_CoT (CMC cross-referenced to SunRIse-1 and 4 as well)</t>
  </si>
  <si>
    <t xml:space="preserve">17000139BLC3001_CET IMPD 360mg etc._Approval_KOR (CMC cross-referenced to SunRIse-1 and 4 as well)</t>
  </si>
  <si>
    <t xml:space="preserve">17000139BLC3001_CET IMPD 360mg etc._Approval_ENG (CMC cross-referenced to SunRIse-1 and 4 as well)</t>
  </si>
  <si>
    <t xml:space="preserve">Trial3_KR_IND amd2 (TAR-200 IMPD v6.0, CET IMPD v11)_MFDS approval letter_CoT (Approval have been applied to BLC3001 &amp; 2002 as well)</t>
  </si>
  <si>
    <t xml:space="preserve">Trial3_KR_IND amd2 (TAR-200 IMPD v6.0, CET IMPD v11)_MFDS approval letter_Eng (Approval have been applied to BLC3001 &amp; 2002 as well)</t>
  </si>
  <si>
    <t xml:space="preserve">Trial3_KR_IND amd2 (TAR-200 IMPD v6.0, CET IMPD v11)_MFDS approval letter_Kor (Approval have been applied to BLC3001 &amp; 2002 as well)</t>
  </si>
  <si>
    <t xml:space="preserve">17000139BLC3001_KR_Approval_IND amd2 (IMPD updates)_CoT (cross-referenced to SR-1 and 4 as well)</t>
  </si>
  <si>
    <t xml:space="preserve">17000139BLC3001_KR_Approval_IND amd2 (IMPD updates)_Eng (cross-referenced to SR-1 and 4 as well)</t>
  </si>
  <si>
    <t xml:space="preserve">17000139BLC3001_KR_Approval_IND amd2 (IMPD updates)_Kor (cross-referenced to SR-1 and 4 as well)</t>
  </si>
  <si>
    <t xml:space="preserve">Trial3_IND amd 4 (PA3, TAR-200 IMPD)_Approval_Kor (CMC cross-referenced to SunRIse-2 and 4 as well)</t>
  </si>
  <si>
    <t xml:space="preserve">Trial3_IND amd 4 (PA3, TAR-200 IMPD)_Approval_CoT (CMC cross-referenced to SunRIse-2 and 4 as well)</t>
  </si>
  <si>
    <t xml:space="preserve">Trial3_IND amd 4 (PA3, TAR-200 IMPD)_Approval_Eng (CMC cross-referenced to SunRIse-2 and 4 as well)</t>
  </si>
  <si>
    <t xml:space="preserve">17000139BLC2002_KR_Initial IND_MFDS approval letter_CoT (Approval of Cetrelimab IMPD v10 for BLC2001 &amp; 3001 as well)</t>
  </si>
  <si>
    <t xml:space="preserve">17000139BLC2002_KR_Initial IND_MFDS approval letter_Eng (Approval of Cetrelimab IMPD v10 for BLC2001 &amp; 3001 as well)</t>
  </si>
  <si>
    <t xml:space="preserve">17000139BLC2002_KR_Initial IND_MFDS approval letter_Kor (Approval of Cetrelimab IMPD v10 for BLC2001 &amp; 3001 as well)</t>
  </si>
  <si>
    <t xml:space="preserve">HA Approval_Amendment_CEO_02May2024</t>
  </si>
  <si>
    <t xml:space="preserve">38518168ARA2003 Moldova__Republic_of Regulatory approval or notification - approval letter for the clinical trial from Ministry of Health - number 573 from 17-May-2013</t>
  </si>
  <si>
    <t xml:space="preserve">38518168ARA2003 Moldova__Republic_of Regulatory approval or notification - approval letter for the clinical trial from Agency for Medicines and Medical Devices number 0102/1613 from 03-May-2013</t>
  </si>
  <si>
    <t xml:space="preserve">38518168ARA2003 Moldova__Republic_of Regulatory approval or notification - - approval letter for the new ICF version 24-Apr-2013 - number 0102/2079 from 11-Jun-2013</t>
  </si>
  <si>
    <t xml:space="preserve">38518168ARA2003 Moldova__Republic_of Regulatory approval or notification - approval letter dated 30-Dec-2013 for protocol amendment INT-2 version 19-Nov-2013</t>
  </si>
  <si>
    <t xml:space="preserve">38518168ARA2003 Moldova__Republic_of APPROVAL  letter 25-Apr-2013 INITIAL - approval letter for the clinical trial - number 667</t>
  </si>
  <si>
    <t xml:space="preserve">38518168ARA2003 Moldova__Republic_of APPROVAL  letter 30-May-2013 INITIAL - approval letter for the new ICF version 24-Apr-2013 - number 671</t>
  </si>
  <si>
    <t xml:space="preserve">40411813DAX2001 Moldova__Republic_of Regulatory approval  or notification</t>
  </si>
  <si>
    <t xml:space="preserve">40411813DAX2001 Moldova__Republic_of Regulatory approval or notification MoH</t>
  </si>
  <si>
    <t xml:space="preserve">40411813DAX2001 Moldova__Republic_of APPROVAL letter 25 APR 2013 INITIAL</t>
  </si>
  <si>
    <t xml:space="preserve">RA Approval Letter_A07.PS-01.Rg02-5276_Initial Approval_22-Dec-2017</t>
  </si>
  <si>
    <t xml:space="preserve">RA Order A07.PS-01.Rg04-13_Initial_24-Jan-2018</t>
  </si>
  <si>
    <t xml:space="preserve">Trial Approval_Lead_Trial resubmission_Approval Date 29-Nov-2017_Issue date 12-Dec-2017</t>
  </si>
  <si>
    <t xml:space="preserve">Approval No. 129 27 Jan 2016 Saliva Collection Instructions</t>
  </si>
  <si>
    <t xml:space="preserve">IRB IEC Approval 92 28 OCT 2015 Initial</t>
  </si>
  <si>
    <t xml:space="preserve">Approval for IB ed 6 &amp; Protocol INT-5_02 MAR 2018</t>
  </si>
  <si>
    <t xml:space="preserve">Initial trial Approval_05 Aug 2015</t>
  </si>
  <si>
    <t xml:space="preserve">Approval of Patient Card v2 &amp; Patient Diary v 5</t>
  </si>
  <si>
    <t xml:space="preserve">Aprobare Protocol INT-3_dd 06 Oct 2016</t>
  </si>
  <si>
    <t xml:space="preserve">NEC Trial Approval Rep Moldova</t>
  </si>
  <si>
    <t xml:space="preserve">Approval of Patient Card v2 &amp;&amp; Patient Diary v 5.0</t>
  </si>
  <si>
    <t xml:space="preserve">Aprobare protocol INT-3_dd 07 oct 2016</t>
  </si>
  <si>
    <t xml:space="preserve">Trial Approval A07.PS-01.Rg02-1545, 29 FEB 2016 Initial</t>
  </si>
  <si>
    <t xml:space="preserve">MoH Trial Approval no. 325, 27 Apr 2016</t>
  </si>
  <si>
    <t xml:space="preserve">Approval Letter Number A07.PS-01.Rg02-989_Updated IMPD for shelf life extension_10-Mar-2017</t>
  </si>
  <si>
    <t xml:space="preserve">Approval Letter Number 1545_Subject card V#2_14-Apr-2017</t>
  </si>
  <si>
    <t xml:space="preserve">Approval Letter No. A07.PS01.Rg02- 2123_IB Ed.2, ICF version 29-Mar-2017, Participant letter_29-May-2017</t>
  </si>
  <si>
    <t xml:space="preserve">Approval Letter Number A07.PS-01.Rg02-4656_Protocol Amendment 1, IB Edition #3, ICF version 13 Oct 2017_10-Nov-2017</t>
  </si>
  <si>
    <t xml:space="preserve">Trial Approval no. 127, 27 Jan 2016, issued on 03 Feb 2016</t>
  </si>
  <si>
    <t xml:space="preserve">IRB/IEC Approval No. 302_Lead_Patient card Vesion 2_Approval date 29 Mar 2017_Issue date 03 Apr 2017</t>
  </si>
  <si>
    <t xml:space="preserve">IRB/IEC Approval No. 315_Lead_IB2 &amp; ICF version 29 Mar 2017_Approval date 26 Apr 2017_Issue date 28 Apr 2017</t>
  </si>
  <si>
    <t xml:space="preserve">IRB IEC Approval No. 412_Lead_Protocol Amendment 1, IB Edition #3, ICF 13 Oct 2017_Approval date 29 Nov 2017_Issue date 05 Dec 2017</t>
  </si>
  <si>
    <t xml:space="preserve">Approval Letter no. A07.PS-01.Rg02-1544_Subject card V#2_14-Apr-2017</t>
  </si>
  <si>
    <t xml:space="preserve">Approval Letter No. 1240_Updated IMPD_03-Apr-2018</t>
  </si>
  <si>
    <t xml:space="preserve">Approval Letter No. 1241_ IB Ed.11_03-Apr-2018</t>
  </si>
  <si>
    <t xml:space="preserve">RA Approval_Add2 to IB13</t>
  </si>
  <si>
    <t xml:space="preserve">Issued on 02 FEB 2016</t>
  </si>
  <si>
    <t xml:space="preserve">Approval Letter No. 917_Updated IMPD_05 Mar 2019</t>
  </si>
  <si>
    <t xml:space="preserve">Approval Letter No. A07.PS-01.Rg02-988_ IB ed. 10 and ICF version 15 Feb 2017_10-Mar-2017</t>
  </si>
  <si>
    <t xml:space="preserve">Approval IB Ed 16_Rg02-002773</t>
  </si>
  <si>
    <t xml:space="preserve">Ministry of Health Trial Approval no. 64 dated 17 Feb 2016</t>
  </si>
  <si>
    <t xml:space="preserve">Approval_Amd IB Addendum ed.16_#Rg02-005511</t>
  </si>
  <si>
    <t xml:space="preserve">Approval Letter no. 2713_IB13_21-Jul-2020</t>
  </si>
  <si>
    <t xml:space="preserve">Approval Letter no. 2715_ICF v#18May2020_21-Jul-2020</t>
  </si>
  <si>
    <t xml:space="preserve">Approval Letter no. 2714_COVID-19 Protocol Annex_21-Jul-2020</t>
  </si>
  <si>
    <t xml:space="preserve">HA Approval_IB14 &amp; ICF Addendum 1</t>
  </si>
  <si>
    <t xml:space="preserve">Approval Letter No. A07.PS-01.Rg02-5262_ IB 10 Addendum 1 and ICF version 16NOV2017_22-Dec-2017</t>
  </si>
  <si>
    <t xml:space="preserve">Approval Letter no. 4866_Addendum 1 to IB13 &amp; ICF v#16Sep2020</t>
  </si>
  <si>
    <t xml:space="preserve">Approval  No. 8058, 06 Oct 2016 for IB ed 9, IMPD  20 Aug 2016,  ICF 08 Sep 2016</t>
  </si>
  <si>
    <t xml:space="preserve">HA_IB ed12 and ICF 07 may 2019_Approval Letter_Rg02-002569_27-Jun-2019</t>
  </si>
  <si>
    <t xml:space="preserve">NEC_IB Ed.12 and ICF 07 May 2019_Approval Letter_665_02-Jul-2019</t>
  </si>
  <si>
    <t xml:space="preserve">IRB/IEC Approval No. 293_Lead_IB ed. 10 and ICF version 15 Feb 2017_03-Apr-2017</t>
  </si>
  <si>
    <t xml:space="preserve">IRB/IEC Approval No. 300_Lead_Subject Participation Card v2_03-Apr-2017</t>
  </si>
  <si>
    <t xml:space="preserve">IRBIEC Approval No. 431_Lead_IB 10 Addendum 1 and ICF version 16NOV2017_Approval Date 27-Dec-2017_Issue Date 04-Jan-2018</t>
  </si>
  <si>
    <t xml:space="preserve">IRBIEC Approval No. 462_Lead_Updated IMPD_05-Apr-2018</t>
  </si>
  <si>
    <t xml:space="preserve">IRBIEC Approval No. 467_Lead_IB Ed. 11_05-Apr-2018</t>
  </si>
  <si>
    <t xml:space="preserve">Approval Letter_IB#13</t>
  </si>
  <si>
    <t xml:space="preserve">Approval no. 178 / 29 June 2016 (issued on 06 Jul 2016) for Protocol Amendment 1 &amp; ICF country version 18 May 2016, issued on 06 Jul 2016</t>
  </si>
  <si>
    <t xml:space="preserve">EC Approval Letter no. 1139_IB14 &amp; ICF Addendum</t>
  </si>
  <si>
    <t xml:space="preserve">Approval No 237 dated 28 Sep 2016, issued on 07 Oct 2016 IB ed. 9, IMPD 20 Aug 2016, ICF 08 Sep 2016</t>
  </si>
  <si>
    <t xml:space="preserve">EC Approval_Amd of IB Addendum ed.16_#1397</t>
  </si>
  <si>
    <t xml:space="preserve">Approbal Letter_ICF v#18May2020</t>
  </si>
  <si>
    <t xml:space="preserve">No.103 / 25 Nov 2015; issued on 23 Dec 2015</t>
  </si>
  <si>
    <t xml:space="preserve">Approval Leter_COVID Protocol Appendix</t>
  </si>
  <si>
    <t xml:space="preserve">Approval_IB Ed 16_#1311</t>
  </si>
  <si>
    <t xml:space="preserve">IRBIEC Approval No. 618_Lead_Updated IMPD_28 Feb 2019_27 Feb 2019</t>
  </si>
  <si>
    <t xml:space="preserve">Approval Letter no 957_Addendum 1 to IB13 &amp; ICF v#16Sep2020</t>
  </si>
  <si>
    <t xml:space="preserve">Approval Letter no. A07.PS-01.Rg02-1543_Subject card V#2_14-Apr-2017</t>
  </si>
  <si>
    <t xml:space="preserve">Approval Letter No. 1239_ IB Ed.11_03-Apr-2018</t>
  </si>
  <si>
    <t xml:space="preserve">Approval Letter No. 1239_Updated IMPD_03-Apr-2018</t>
  </si>
  <si>
    <t xml:space="preserve">HA Approval_Add2 to IB13</t>
  </si>
  <si>
    <t xml:space="preserve">Approval Letter No. 916_Updated IMPD_05 Mar 2019</t>
  </si>
  <si>
    <t xml:space="preserve">Approval Letter No. A07.PS-01.Rg02-983_ IB ed. 10 and ICF version 15 Feb 2017_10-Mar-2017</t>
  </si>
  <si>
    <t xml:space="preserve">Trial Approval 02 FEB 2016 Initial</t>
  </si>
  <si>
    <t xml:space="preserve">LHA Approval 29 FEB 2016 Subject Diaries</t>
  </si>
  <si>
    <t xml:space="preserve">Approval of IB Ed 16_Rg02-002774</t>
  </si>
  <si>
    <t xml:space="preserve">Approval_Amd ICF Add V1.0_IB Ed17_Rg02-003128</t>
  </si>
  <si>
    <t xml:space="preserve">Ministry of Health Trial Approval no. 68 dated 17 Feb 2016</t>
  </si>
  <si>
    <t xml:space="preserve">Approval_ Amd IB Addendum ed.16_Rg02-005509</t>
  </si>
  <si>
    <t xml:space="preserve">Approval Amd PA1_ICF v.11_RG02-005510</t>
  </si>
  <si>
    <t xml:space="preserve">Approval Letter no. 2716_IB13_21-Jul-2020</t>
  </si>
  <si>
    <t xml:space="preserve">Approval Letter no. 2717_COVID-19 Protocol Annex_21-Jul-2020</t>
  </si>
  <si>
    <t xml:space="preserve">Approval Letter no. 2718_ICF v#18May2020_21-Jul-2020</t>
  </si>
  <si>
    <t xml:space="preserve">HA Approval_ IB 14 &amp; ICF Addendum 1</t>
  </si>
  <si>
    <t xml:space="preserve">Approval Letter No. A07.PS-01.Rg02-5261_ IB Addendum and ICF 22Nov2017_22-Dec-2017</t>
  </si>
  <si>
    <t xml:space="preserve">Approval No. 8059, 06 Oct 2016, IB ed. 9, IMPD 20 Aug 2016, ICF 08 Sep 2016</t>
  </si>
  <si>
    <t xml:space="preserve">HA_IB ed12 and ICF 07 may 2019_Approval Letter_Rg02-002570_27-Jun-2019</t>
  </si>
  <si>
    <t xml:space="preserve">NEC_IB ed12 and ICF 07 may 2019_Approval Letter_666_02-Jul-2019</t>
  </si>
  <si>
    <t xml:space="preserve">IRB/IEC Approval No. 294_Lead_IB ed. 10 and ICF version 15 Feb 2017_03-Apr-2017</t>
  </si>
  <si>
    <t xml:space="preserve">IRB/IEC Approval No. 299_Lead_Subject Participation Card v2_03-Apr-2017</t>
  </si>
  <si>
    <t xml:space="preserve">IRB IEC Approval  No. 113 27 Jan 2016 Initial, issued on 03 Feb 2016</t>
  </si>
  <si>
    <t xml:space="preserve">Approval No. 432_Lead_IB Addendum and ICF version 22NOV2017_Approval date 27-Dec-2017_Issue Date 04-Jan-2018</t>
  </si>
  <si>
    <t xml:space="preserve">IRBIEC Approval No. 463_Lead_Updated IMPD_05-Apr-2018</t>
  </si>
  <si>
    <t xml:space="preserve">IRBIEC Approval No. 466_Lead_IB Ed. 11_05-Apr-2018</t>
  </si>
  <si>
    <t xml:space="preserve">Approval of Amd of ICF Add v1.0_IB Ed17_#1520</t>
  </si>
  <si>
    <t xml:space="preserve">EC Approval no. 1138_IB 14 &amp; ICF Addendum</t>
  </si>
  <si>
    <t xml:space="preserve">Approval No. 238, 28 Sep 2016, issued on 07 Oct 2016, IB ed. 9, IMPD 20 Aug 2016, ICF 08 Sep 2016</t>
  </si>
  <si>
    <t xml:space="preserve">EC Approval_Amd of IB Addendum ed.16_#1396</t>
  </si>
  <si>
    <t xml:space="preserve">EC Approval_Amd of PA1_ICF v.1_#1392</t>
  </si>
  <si>
    <t xml:space="preserve">Approval_IB Ed 16_#1312</t>
  </si>
  <si>
    <t xml:space="preserve">IRBIEC Approval No. 617_Lead_Updated IMPD_28 Feb 2019_27 Feb 2019</t>
  </si>
  <si>
    <t xml:space="preserve">Approval 141 / 24 Feb 2016 Subject diaries, issued on 29 Feb 2016</t>
  </si>
  <si>
    <t xml:space="preserve">Approval Letter no 958_Addendum 1 to IB13 &amp; ICF v#16Sep2020</t>
  </si>
  <si>
    <t xml:space="preserve">IB Edition</t>
  </si>
  <si>
    <t xml:space="preserve">IB Document Number</t>
  </si>
  <si>
    <t xml:space="preserve">Acceptance IB Document Name</t>
  </si>
  <si>
    <t xml:space="preserve">Acceptance IB Description</t>
  </si>
  <si>
    <t xml:space="preserve">Acceptance IB vTMF Document Number</t>
  </si>
  <si>
    <t xml:space="preserve">rHuPH20_IB_Ed12_ja</t>
  </si>
  <si>
    <t xml:space="preserve">JNJ-61186372_IB_Ed 11_1716</t>
  </si>
  <si>
    <t xml:space="preserve">JNJ-61186372 (CNTO4424)_IB_Ed11_ja</t>
  </si>
  <si>
    <t xml:space="preserve">JNJ-73841937_IB_Ed14</t>
  </si>
  <si>
    <t xml:space="preserve">JNJ-73841937_IB_Ed12_3502</t>
  </si>
  <si>
    <t xml:space="preserve">JNJ-73841937_lazertinib_IB_Ed14_ja</t>
  </si>
  <si>
    <t xml:space="preserve">Confirmation letter Date_A</t>
  </si>
  <si>
    <t xml:space="preserve">MVR Date_A</t>
  </si>
  <si>
    <t xml:space="preserve">FUL Date_A</t>
  </si>
  <si>
    <t xml:space="preserve">Confirmation letter Document Name</t>
  </si>
  <si>
    <t xml:space="preserve">Confirmation letter Date</t>
  </si>
  <si>
    <t xml:space="preserve">Confirmation letter Description</t>
  </si>
  <si>
    <t xml:space="preserve">Confirmation letter Document Number</t>
  </si>
  <si>
    <t xml:space="preserve">Confirmation Letter Version Creation Date</t>
  </si>
  <si>
    <t xml:space="preserve">MVR in vTMF</t>
  </si>
  <si>
    <t xml:space="preserve">MVR Date</t>
  </si>
  <si>
    <t xml:space="preserve">MVR Document Number</t>
  </si>
  <si>
    <t xml:space="preserve">MVR Version Creation Date</t>
  </si>
  <si>
    <t xml:space="preserve">FUL in vTMF</t>
  </si>
  <si>
    <t xml:space="preserve">FUL Date</t>
  </si>
  <si>
    <t xml:space="preserve">FUL Document Number</t>
  </si>
  <si>
    <t xml:space="preserve">FUL Version Creation Date</t>
  </si>
  <si>
    <t xml:space="preserve">1572 Document Name</t>
  </si>
  <si>
    <t xml:space="preserve">1572 Description</t>
  </si>
  <si>
    <t xml:space="preserve">1572 Document Number</t>
  </si>
  <si>
    <t xml:space="preserve">FDF Document Name</t>
  </si>
  <si>
    <t xml:space="preserve">FDF Description</t>
  </si>
  <si>
    <t xml:space="preserve">FDF Document Number</t>
  </si>
  <si>
    <t xml:space="preserve">CV Document Name</t>
  </si>
  <si>
    <t xml:space="preserve">CV Description</t>
  </si>
  <si>
    <t xml:space="preserve">CV Document Number</t>
  </si>
  <si>
    <t xml:space="preserve">Investigator Financial Disclosure Form_Kim,HR_Initial_01Feb2023</t>
  </si>
  <si>
    <t xml:space="preserve">PI CV_IM, SM_05Sep2022</t>
  </si>
  <si>
    <t xml:space="preserve">Investigator Financial Disclosure Form_Lee,JB_Initial_01Feb2023</t>
  </si>
  <si>
    <t xml:space="preserve">Sub-I CV_name1_01Feb2023</t>
  </si>
  <si>
    <t xml:space="preserve">Investigator Financial Disclosure Form_Lee,JH_Initial_01Feb2023</t>
  </si>
  <si>
    <t xml:space="preserve">Sub-I CV_name2_01Feb2023</t>
  </si>
  <si>
    <t xml:space="preserve">Investigator Financial Disclosure Form_Hong,MH_Initial_01Feb2023</t>
  </si>
  <si>
    <t xml:space="preserve">Sub-I CV_name3_01Feb2023</t>
  </si>
  <si>
    <t xml:space="preserve">Investigator Financial Disclosure Form_Cho,BC_Initial_01Feb2023</t>
  </si>
  <si>
    <t xml:space="preserve">Sub-I CV_name4_01Feb2023</t>
  </si>
  <si>
    <t xml:space="preserve">SI CV_name5_28Jul2022</t>
  </si>
  <si>
    <t xml:space="preserve">Request for Information -, site AI1-KR10001, Dr. X, Seoul, Korea, Republic of</t>
  </si>
  <si>
    <t xml:space="preserve">SiteGroupName</t>
  </si>
  <si>
    <t xml:space="preserve">Site</t>
  </si>
  <si>
    <t xml:space="preserve">Subject</t>
  </si>
  <si>
    <t xml:space="preserve">InstanceName</t>
  </si>
  <si>
    <t xml:space="preserve">Visit date</t>
  </si>
  <si>
    <t xml:space="preserve">SDVTier</t>
  </si>
  <si>
    <t xml:space="preserve">page</t>
  </si>
  <si>
    <t xml:space="preserve">Informed consent date</t>
  </si>
  <si>
    <t xml:space="preserve">protocol date</t>
  </si>
  <si>
    <t xml:space="preserve">Age</t>
  </si>
  <si>
    <t xml:space="preserve">Sex</t>
  </si>
  <si>
    <t xml:space="preserve">date of birth</t>
  </si>
  <si>
    <t xml:space="preserve">disposition date</t>
  </si>
  <si>
    <t xml:space="preserve">treatment disposition date</t>
  </si>
  <si>
    <t xml:space="preserve">discontinuation primary reason</t>
  </si>
  <si>
    <t xml:space="preserve">what was the subjects status?</t>
  </si>
  <si>
    <t xml:space="preserve">KOR</t>
  </si>
  <si>
    <t xml:space="preserve">KR10001-Lim</t>
  </si>
  <si>
    <t xml:space="preserve">Screening</t>
  </si>
  <si>
    <t xml:space="preserve">Tier 1</t>
  </si>
  <si>
    <t xml:space="preserve">Male</t>
  </si>
  <si>
    <t xml:space="preserve">Cycle 01 Day 01  </t>
  </si>
  <si>
    <t xml:space="preserve">Cycle 01 Day 03  </t>
  </si>
  <si>
    <t xml:space="preserve">Cycle 01 Day 08  </t>
  </si>
  <si>
    <t xml:space="preserve">Unscheduled 20230302</t>
  </si>
  <si>
    <t xml:space="preserve">Date of Visit (Unscheduled)</t>
  </si>
  <si>
    <t xml:space="preserve">Cycle 01 Day 15  </t>
  </si>
  <si>
    <t xml:space="preserve">Cycle 01 Day 22  </t>
  </si>
  <si>
    <t xml:space="preserve">Cycle 02 Day 01  </t>
  </si>
  <si>
    <t xml:space="preserve">Cycle 02 Day 03  </t>
  </si>
  <si>
    <t xml:space="preserve">Cycle 02 Day 15  </t>
  </si>
  <si>
    <t xml:space="preserve">Disease Evaluation Visit 20230417</t>
  </si>
  <si>
    <t xml:space="preserve">Disease Evaluation Date of Visit</t>
  </si>
  <si>
    <t xml:space="preserve">Cycle 03 Day 01  </t>
  </si>
  <si>
    <t xml:space="preserve">Cycle 03 Day 15  </t>
  </si>
  <si>
    <t xml:space="preserve">Cycle 04 Day 01  </t>
  </si>
  <si>
    <t xml:space="preserve">Cycle 04 Day 15  </t>
  </si>
  <si>
    <t xml:space="preserve">Disease Evaluation Visit 20230607</t>
  </si>
  <si>
    <t xml:space="preserve">Cycle 05 Day 1 -</t>
  </si>
  <si>
    <t xml:space="preserve">Cycle 05 Day 15 -</t>
  </si>
  <si>
    <t xml:space="preserve">Cycle 06 Day 1 -</t>
  </si>
  <si>
    <t xml:space="preserve">Cycle 06 Day 15 -</t>
  </si>
  <si>
    <t xml:space="preserve">Disease Evaluation Visit 20230803</t>
  </si>
  <si>
    <t xml:space="preserve">Cycle 07 Day 1 -</t>
  </si>
  <si>
    <t xml:space="preserve">Cycle 07 Day 15 -</t>
  </si>
  <si>
    <t xml:space="preserve">Cycle 08 Day 1 -</t>
  </si>
  <si>
    <t xml:space="preserve">Cycle 08 Day 15 -</t>
  </si>
  <si>
    <t xml:space="preserve">Cycle 09 Day 1 -</t>
  </si>
  <si>
    <t xml:space="preserve">Disease Evaluation Visit 20231004</t>
  </si>
  <si>
    <t xml:space="preserve">Cycle 09 Day 15 -</t>
  </si>
  <si>
    <t xml:space="preserve">Cycle 10 Day 1 -</t>
  </si>
  <si>
    <t xml:space="preserve">Cycle 10 Day 15 -</t>
  </si>
  <si>
    <t xml:space="preserve">Cycle 11 Day 1 -</t>
  </si>
  <si>
    <t xml:space="preserve">Disease Evaluation Visit 20231128</t>
  </si>
  <si>
    <t xml:space="preserve">Cycle 11 Day 15 -</t>
  </si>
  <si>
    <t xml:space="preserve">Cycle 12 Day 1 -</t>
  </si>
  <si>
    <t xml:space="preserve">Cycle 12 Day 15 -</t>
  </si>
  <si>
    <t xml:space="preserve">Cycle 13 Day 1 -</t>
  </si>
  <si>
    <t xml:space="preserve">Disease Evaluation Visit 20240123</t>
  </si>
  <si>
    <t xml:space="preserve">Cycle 13 Day 15 -</t>
  </si>
  <si>
    <t xml:space="preserve">Cycle 14 Day 1 -</t>
  </si>
  <si>
    <t xml:space="preserve">Cycle 14 Day 15 -</t>
  </si>
  <si>
    <t xml:space="preserve">Cycle 15 Day 1 -</t>
  </si>
  <si>
    <t xml:space="preserve">Disease Evaluation Visit 20240319</t>
  </si>
  <si>
    <t xml:space="preserve">Cycle 15 Day 15 -</t>
  </si>
  <si>
    <t xml:space="preserve">Cycle 16 Day 1 -</t>
  </si>
  <si>
    <t xml:space="preserve">Cycle 16 Day 15 -</t>
  </si>
  <si>
    <t xml:space="preserve">Cycle 17 Day 1 -</t>
  </si>
  <si>
    <t xml:space="preserve">Disease Evaluation Visit 20240514</t>
  </si>
  <si>
    <t xml:space="preserve">Cycle 17 Day 15 -</t>
  </si>
  <si>
    <t xml:space="preserve">Female</t>
  </si>
  <si>
    <t xml:space="preserve">Disease Evaluation Visit 20230411</t>
  </si>
  <si>
    <t xml:space="preserve">Disease Evaluation Visit 20230801</t>
  </si>
  <si>
    <t xml:space="preserve">Disease Evaluation Visit 20230420</t>
  </si>
  <si>
    <t xml:space="preserve">Disease Evaluation Visit 20230615</t>
  </si>
  <si>
    <t xml:space="preserve">Disease Evaluation Visit 20230810</t>
  </si>
  <si>
    <t xml:space="preserve">Disease Evaluation Visit 20231005</t>
  </si>
  <si>
    <t xml:space="preserve">Disease Evaluation Visit 20231130</t>
  </si>
  <si>
    <t xml:space="preserve">Disease Evaluation Visit 20240125</t>
  </si>
  <si>
    <t xml:space="preserve">Disease Evaluation Visit 20240321</t>
  </si>
  <si>
    <t xml:space="preserve">Disease Evaluation Visit 20240516</t>
  </si>
  <si>
    <t xml:space="preserve">Disease Evaluation Visit 20230425</t>
  </si>
  <si>
    <t xml:space="preserve">Disease Evaluation Visit 20230620</t>
  </si>
  <si>
    <t xml:space="preserve">Disease Evaluation Visit 20230814</t>
  </si>
  <si>
    <t xml:space="preserve">Disease Evaluation Visit 20231010</t>
  </si>
  <si>
    <t xml:space="preserve">Disease Evaluation Visit 20231205</t>
  </si>
  <si>
    <t xml:space="preserve">Unscheduled 20231226</t>
  </si>
  <si>
    <t xml:space="preserve">Disease Evaluation Visit 20240130</t>
  </si>
  <si>
    <t xml:space="preserve">Disease Evaluation Visit 20240326</t>
  </si>
  <si>
    <t xml:space="preserve">Disease Evaluation Visit 20240521</t>
  </si>
  <si>
    <t xml:space="preserve">No Forms</t>
  </si>
  <si>
    <t xml:space="preserve">Trial Disposition (Completion/ Discontinuation)</t>
  </si>
  <si>
    <t xml:space="preserve">Failure to Meet Eligibility Criteria</t>
  </si>
  <si>
    <t xml:space="preserve">Unscheduled 20230220</t>
  </si>
  <si>
    <t xml:space="preserve">End of Treatment (1)</t>
  </si>
  <si>
    <t xml:space="preserve">Follow-up Visit (1)</t>
  </si>
  <si>
    <t xml:space="preserve">Follow-up Visit (2)</t>
  </si>
  <si>
    <t xml:space="preserve">Follow-up Visit (3)</t>
  </si>
  <si>
    <t xml:space="preserve">Follow-up Visit (4)</t>
  </si>
  <si>
    <t xml:space="preserve">Follow-up Visit (5)</t>
  </si>
  <si>
    <t xml:space="preserve">Disease Evaluation Visit 20230509</t>
  </si>
  <si>
    <t xml:space="preserve">Unscheduled 20230503</t>
  </si>
  <si>
    <t xml:space="preserve">Unscheduled 20230612</t>
  </si>
  <si>
    <t xml:space="preserve">Unscheduled 20230626</t>
  </si>
  <si>
    <t xml:space="preserve">Disease Evaluation Visit 20230703</t>
  </si>
  <si>
    <t xml:space="preserve">Unscheduled 20230705</t>
  </si>
  <si>
    <t xml:space="preserve">Disease Evaluation Visit 20230828</t>
  </si>
  <si>
    <t xml:space="preserve">Disease Evaluation Visit 20231023</t>
  </si>
  <si>
    <t xml:space="preserve">Disease Evaluation Visit 20231218</t>
  </si>
  <si>
    <t xml:space="preserve">Disease Evaluation Visit 20240214</t>
  </si>
  <si>
    <t xml:space="preserve">Disease Evaluation Visit 20240408</t>
  </si>
  <si>
    <t xml:space="preserve">Death</t>
  </si>
  <si>
    <t xml:space="preserve">Unscheduled 20230508</t>
  </si>
  <si>
    <t xml:space="preserve">Disease Evaluation Visit 20230512</t>
  </si>
  <si>
    <t xml:space="preserve">Unscheduled 20230619</t>
  </si>
  <si>
    <t xml:space="preserve">Unscheduled 20230703</t>
  </si>
  <si>
    <t xml:space="preserve">Unscheduled 20230330</t>
  </si>
  <si>
    <t xml:space="preserve">Disease Evaluation Visit 20230520</t>
  </si>
  <si>
    <t xml:space="preserve">Disease Evaluation Visit 20230710</t>
  </si>
  <si>
    <t xml:space="preserve">Unscheduled 20230816</t>
  </si>
  <si>
    <t xml:space="preserve">Disease Evaluation Visit 20230904</t>
  </si>
  <si>
    <t xml:space="preserve">Disease Evaluation Visit 20231030</t>
  </si>
  <si>
    <t xml:space="preserve">Disease Evaluation Visit 20231226</t>
  </si>
  <si>
    <t xml:space="preserve">Disease Evaluation Visit 20240219</t>
  </si>
  <si>
    <t xml:space="preserve">Unscheduled 20240311</t>
  </si>
  <si>
    <t xml:space="preserve">Disease Evaluation Visit 20240415</t>
  </si>
  <si>
    <t xml:space="preserve">Disease Evaluation Visit 20230515</t>
  </si>
  <si>
    <t xml:space="preserve">Unscheduled 20230523</t>
  </si>
  <si>
    <t xml:space="preserve">Disease Evaluation Visit 20230711</t>
  </si>
  <si>
    <t xml:space="preserve">Disease Evaluation Visit 20230905</t>
  </si>
  <si>
    <t xml:space="preserve">Disease Evaluation Visit 20231031</t>
  </si>
  <si>
    <t xml:space="preserve">Disease Evaluation Visit 20240220</t>
  </si>
  <si>
    <t xml:space="preserve">Disease Evaluation Visit 20240416</t>
  </si>
  <si>
    <t xml:space="preserve">End of Treatment  </t>
  </si>
  <si>
    <t xml:space="preserve">Unscheduled 20230117</t>
  </si>
  <si>
    <t xml:space="preserve">Withdrawal by Subject</t>
  </si>
  <si>
    <t xml:space="preserve">Disease Evaluation Visit 20230522</t>
  </si>
  <si>
    <t xml:space="preserve">Unscheduled 20230413</t>
  </si>
  <si>
    <t xml:space="preserve">Disease Evaluation Visit 20230530</t>
  </si>
  <si>
    <t xml:space="preserve">Disease Evaluation Visit 20230724</t>
  </si>
  <si>
    <t xml:space="preserve">Disease Evaluation Visit 20230918</t>
  </si>
  <si>
    <t xml:space="preserve">Disease Evaluation Visit 20231113</t>
  </si>
  <si>
    <t xml:space="preserve">Disease Evaluation Visit 20240108</t>
  </si>
  <si>
    <t xml:space="preserve">Disease Evaluation Visit 20240304</t>
  </si>
  <si>
    <t xml:space="preserve">Disease Evaluation Visit 20230531</t>
  </si>
  <si>
    <t xml:space="preserve">Disease Evaluation Visit 20230726</t>
  </si>
  <si>
    <t xml:space="preserve">Disease Evaluation Visit 20230921</t>
  </si>
  <si>
    <t xml:space="preserve">Disease Evaluation Visit 20231129</t>
  </si>
  <si>
    <t xml:space="preserve">Disease Evaluation Visit 20240118</t>
  </si>
  <si>
    <t xml:space="preserve">Disease Evaluation Visit 20240307</t>
  </si>
  <si>
    <t xml:space="preserve">Disease Evaluation Visit 20240502</t>
  </si>
  <si>
    <t xml:space="preserve">Disease Evaluation Visit 20230612</t>
  </si>
  <si>
    <t xml:space="preserve">Disease Evaluation Visit 20230804</t>
  </si>
  <si>
    <t xml:space="preserve">Disease Evaluation Visit 20230927</t>
  </si>
  <si>
    <t xml:space="preserve">Disease Evaluation Visit 20231124</t>
  </si>
  <si>
    <t xml:space="preserve">Unscheduled 20240115</t>
  </si>
  <si>
    <t xml:space="preserve">Disease Evaluation Visit 20240126</t>
  </si>
  <si>
    <t xml:space="preserve">Disease Evaluation Visit 20240322</t>
  </si>
  <si>
    <t xml:space="preserve">Disease Evaluation Visit 20231106</t>
  </si>
  <si>
    <t xml:space="preserve">Disease Evaluation Visit 20231219</t>
  </si>
  <si>
    <t xml:space="preserve">Disease Evaluation Visit 20240308</t>
  </si>
  <si>
    <t xml:space="preserve">Disease Evaluation Visit 20240419</t>
  </si>
  <si>
    <t xml:space="preserve">Disease Evaluation Visit 20231201</t>
  </si>
  <si>
    <t xml:space="preserve">Unscheduled 20231206</t>
  </si>
  <si>
    <t xml:space="preserve">Disease Evaluation Visit 20240102</t>
  </si>
  <si>
    <t xml:space="preserve">Disease Evaluation Visit 20240213</t>
  </si>
  <si>
    <t xml:space="preserve">Disease Evaluation Visit 20240507</t>
  </si>
  <si>
    <t xml:space="preserve">Disease Evaluation Visit 20231227</t>
  </si>
  <si>
    <t xml:space="preserve">Disease Evaluation Visit 20240207</t>
  </si>
  <si>
    <t xml:space="preserve">Disease Evaluation Visit 20240320</t>
  </si>
  <si>
    <t xml:space="preserve">Disease Evaluation Visit 20240430</t>
  </si>
  <si>
    <t xml:space="preserve">Disease Evaluation Visit 20240216</t>
  </si>
  <si>
    <t xml:space="preserve">Disease Evaluation Visit 20240327</t>
  </si>
  <si>
    <t xml:space="preserve">Disease Evaluation Visit 20240508</t>
  </si>
  <si>
    <t xml:space="preserve">Disease Evaluation Visit 20240206</t>
  </si>
  <si>
    <t xml:space="preserve">Disease Evaluation Visit 20240426</t>
  </si>
  <si>
    <t xml:space="preserve">Unscheduled 20240124</t>
  </si>
  <si>
    <t xml:space="preserve">Unscheduled 20240229</t>
  </si>
  <si>
    <t xml:space="preserve">Disease Evaluation Visit 20240325</t>
  </si>
  <si>
    <t xml:space="preserve">Disease Evaluation Visit 20231102</t>
  </si>
  <si>
    <t xml:space="preserve">Disease Evaluation Visit 20231214</t>
  </si>
  <si>
    <t xml:space="preserve">Disease Evaluation Visit 20240418</t>
  </si>
  <si>
    <t xml:space="preserve">Disease Evaluation Visit 20231108</t>
  </si>
  <si>
    <t xml:space="preserve">Disease Evaluation Visit 20231212</t>
  </si>
  <si>
    <t xml:space="preserve">Disease Evaluation Visit 20240129</t>
  </si>
  <si>
    <t xml:space="preserve">Disease Evaluation Visit 20240311</t>
  </si>
  <si>
    <t xml:space="preserve">Disease Evaluation Visit 20240422</t>
  </si>
  <si>
    <t xml:space="preserve">Disease Evaluation Visit 20240312</t>
  </si>
  <si>
    <t xml:space="preserve">Disease Evaluation Visit 20231109</t>
  </si>
  <si>
    <t xml:space="preserve">Unscheduled 20231128</t>
  </si>
  <si>
    <t xml:space="preserve">Disease Evaluation Visit 20240131</t>
  </si>
  <si>
    <t xml:space="preserve">Disease Evaluation Visit 20240313</t>
  </si>
  <si>
    <t xml:space="preserve">Disease Evaluation Visit 20240424</t>
  </si>
  <si>
    <t xml:space="preserve">Unscheduled 20231019</t>
  </si>
  <si>
    <t xml:space="preserve">Unscheduled 20231023</t>
  </si>
  <si>
    <t xml:space="preserve">Disease Evaluation Visit 20231101</t>
  </si>
  <si>
    <t xml:space="preserve">Disease Evaluation Visit 20231213</t>
  </si>
  <si>
    <t xml:space="preserve">Disease Evaluation Visit 20240122</t>
  </si>
  <si>
    <t xml:space="preserve">Unscheduled 20230922</t>
  </si>
  <si>
    <t xml:space="preserve">Disease Evaluation Visit 20231121</t>
  </si>
  <si>
    <t xml:space="preserve">Disease Evaluation Visit 20231127</t>
  </si>
  <si>
    <t xml:space="preserve">Unscheduled 20231204</t>
  </si>
  <si>
    <t xml:space="preserve">Disease Evaluation Visit 20240104</t>
  </si>
  <si>
    <t xml:space="preserve">Disease Evaluation Visit 20240403</t>
  </si>
  <si>
    <t xml:space="preserve">Disease Evaluation Visit 20240109</t>
  </si>
  <si>
    <t xml:space="preserve">Unscheduled 20240207</t>
  </si>
  <si>
    <t xml:space="preserve">Disease Evaluation Visit 20240221</t>
  </si>
  <si>
    <t xml:space="preserve">Unscheduled 20240227</t>
  </si>
  <si>
    <t xml:space="preserve">Unscheduled 20240228</t>
  </si>
  <si>
    <t xml:space="preserve">Disease Evaluation Visit 20240411</t>
  </si>
  <si>
    <t xml:space="preserve">Unscheduled 20240424</t>
  </si>
  <si>
    <t xml:space="preserve">Unscheduled 20231026</t>
  </si>
  <si>
    <t xml:space="preserve">Unscheduled 20231030</t>
  </si>
  <si>
    <t xml:space="preserve">Unscheduled 20231031</t>
  </si>
  <si>
    <t xml:space="preserve">Unscheduled 20231102</t>
  </si>
  <si>
    <t xml:space="preserve">Unscheduled 20240403</t>
  </si>
  <si>
    <t xml:space="preserve">Unscheduled 20240325</t>
  </si>
  <si>
    <t xml:space="preserve">Unscheduled 20240507</t>
  </si>
  <si>
    <t xml:space="preserve">Disease Evaluation Visit 20240417</t>
  </si>
  <si>
    <t xml:space="preserve">Unscheduled 20240327</t>
  </si>
  <si>
    <t xml:space="preserve">Disease Evaluation Visit 20230721</t>
  </si>
  <si>
    <t xml:space="preserve">Unscheduled 20230810</t>
  </si>
  <si>
    <t xml:space="preserve">Unscheduled 20230814</t>
  </si>
  <si>
    <t xml:space="preserve">Disease Evaluation Visit 20230830</t>
  </si>
  <si>
    <t xml:space="preserve">Disease Evaluation Visit 20231012</t>
  </si>
  <si>
    <t xml:space="preserve">Disease Evaluation Visit 20240110</t>
  </si>
  <si>
    <t xml:space="preserve">Disease Evaluation Visit 20230817</t>
  </si>
  <si>
    <t xml:space="preserve">Disease Evaluation Visit 20230922</t>
  </si>
  <si>
    <t xml:space="preserve">Unscheduled 20231005</t>
  </si>
  <si>
    <t xml:space="preserve">Disease Evaluation Visit 20231221</t>
  </si>
  <si>
    <t xml:space="preserve">Disease Evaluation Visit 20231018</t>
  </si>
  <si>
    <t xml:space="preserve">Unscheduled 20240101</t>
  </si>
  <si>
    <t xml:space="preserve">Disease Evaluation Visit 20240111</t>
  </si>
  <si>
    <t xml:space="preserve">Unscheduled 20230904</t>
  </si>
  <si>
    <t xml:space="preserve">Unscheduled 20230925</t>
  </si>
  <si>
    <t xml:space="preserve">Disease Evaluation Visit 20240425</t>
  </si>
  <si>
    <t xml:space="preserve">Disease Evaluation Visit 20240201</t>
  </si>
  <si>
    <t xml:space="preserve">Disease Evaluation Visit 20240314</t>
  </si>
  <si>
    <t xml:space="preserve">Disease Evaluation Visit (6)</t>
  </si>
  <si>
    <t xml:space="preserve">Disease Evaluation Visit 20231207</t>
  </si>
  <si>
    <t xml:space="preserve">Disease Evaluation Visit 20240229</t>
  </si>
  <si>
    <t xml:space="preserve">Unscheduled 20240401</t>
  </si>
  <si>
    <t xml:space="preserve">Unscheduled 20240418</t>
  </si>
  <si>
    <t xml:space="preserve">Unscheduled 20240423</t>
  </si>
  <si>
    <t xml:space="preserve">Disease Evaluation Visit 20230808</t>
  </si>
  <si>
    <t xml:space="preserve">Cycle 04 Day 03  </t>
  </si>
  <si>
    <t xml:space="preserve">Cycle 04 Day 05  </t>
  </si>
  <si>
    <t xml:space="preserve">Cycle 04 Day 08  </t>
  </si>
  <si>
    <t xml:space="preserve">Disease Evaluation Visit 20231002</t>
  </si>
  <si>
    <t xml:space="preserve">Disease Evaluation Visit 20240117</t>
  </si>
  <si>
    <t xml:space="preserve">Disease Evaluation Visit 20240318</t>
  </si>
  <si>
    <t xml:space="preserve">Disease Evaluation Visit 20240513</t>
  </si>
  <si>
    <t xml:space="preserve">Disease Evaluation Visit 20230802</t>
  </si>
  <si>
    <t xml:space="preserve">Disease Evaluation Visit 20240315</t>
  </si>
  <si>
    <t xml:space="preserve">Disease Evaluation Visit 20230805</t>
  </si>
  <si>
    <t xml:space="preserve">Disease Evaluation Visit 20230926</t>
  </si>
  <si>
    <t xml:space="preserve">Disease Evaluation Visit 20231122</t>
  </si>
  <si>
    <t xml:space="preserve">Disease Evaluation Visit 20230809</t>
  </si>
  <si>
    <t xml:space="preserve">Disease Evaluation Visit 20240124</t>
  </si>
  <si>
    <t xml:space="preserve">Disease Evaluation Visit 20230807</t>
  </si>
  <si>
    <t xml:space="preserve">Disease Evaluation Visit 20230907</t>
  </si>
  <si>
    <t xml:space="preserve">Disease Evaluation Visit 20231011</t>
  </si>
  <si>
    <t xml:space="preserve">Disease Evaluation Visit 20230818</t>
  </si>
  <si>
    <t xml:space="preserve">Disease Evaluation Visit 20230821</t>
  </si>
  <si>
    <t xml:space="preserve">Unscheduled 20230926</t>
  </si>
  <si>
    <t xml:space="preserve">Disease Evaluation Visit 20231017</t>
  </si>
  <si>
    <t xml:space="preserve">Disease Evaluation Visit 20240402</t>
  </si>
  <si>
    <t xml:space="preserve">Disease Evaluation Visit 20230816</t>
  </si>
  <si>
    <t xml:space="preserve">Unscheduled 20231017</t>
  </si>
  <si>
    <t xml:space="preserve">Disease Evaluation Visit 20230728</t>
  </si>
  <si>
    <t xml:space="preserve">Disease Evaluation Visit 20231013</t>
  </si>
  <si>
    <t xml:space="preserve">Disease Evaluation Visit 20230819</t>
  </si>
  <si>
    <t xml:space="preserve">Unscheduled 20231024</t>
  </si>
  <si>
    <t xml:space="preserve">Unscheduled 20231109</t>
  </si>
  <si>
    <t xml:space="preserve">Disease Evaluation Visit 20230824</t>
  </si>
  <si>
    <t xml:space="preserve">Disease Evaluation Visit 20231019</t>
  </si>
  <si>
    <t xml:space="preserve">Disease Evaluation Visit 20230829</t>
  </si>
  <si>
    <t xml:space="preserve">Disease Evaluation Visit 20231025</t>
  </si>
  <si>
    <t xml:space="preserve">Disease Evaluation Visit 20231220</t>
  </si>
  <si>
    <t xml:space="preserve">Disease Evaluation Visit 20231020</t>
  </si>
  <si>
    <t xml:space="preserve">Disease Evaluation Visit 20240208</t>
  </si>
  <si>
    <t xml:space="preserve">Disease Evaluation Visit 20240405</t>
  </si>
  <si>
    <t xml:space="preserve">Unscheduled 20230731</t>
  </si>
  <si>
    <t xml:space="preserve">Disease Evaluation Visit 20230915</t>
  </si>
  <si>
    <t xml:space="preserve">Unscheduled 20240130</t>
  </si>
  <si>
    <t xml:space="preserve">Disease Evaluation Visit 20240228</t>
  </si>
  <si>
    <t xml:space="preserve">RecordPosition</t>
  </si>
  <si>
    <t xml:space="preserve">What is the adverse event term?</t>
  </si>
  <si>
    <t xml:space="preserve">Toxicity Grade</t>
  </si>
  <si>
    <t xml:space="preserve">outcome</t>
  </si>
  <si>
    <t xml:space="preserve">Date of Report</t>
  </si>
  <si>
    <t xml:space="preserve">Date Investigator/ Investigational Staff became aware</t>
  </si>
  <si>
    <t xml:space="preserve">start date</t>
  </si>
  <si>
    <t xml:space="preserve">start time</t>
  </si>
  <si>
    <t xml:space="preserve">end date</t>
  </si>
  <si>
    <t xml:space="preserve">end time</t>
  </si>
  <si>
    <t xml:space="preserve">concomitant treatment given for AE</t>
  </si>
  <si>
    <t xml:space="preserve">Serious AE</t>
  </si>
  <si>
    <t xml:space="preserve">Age at onset of SAE</t>
  </si>
  <si>
    <t xml:space="preserve">death</t>
  </si>
  <si>
    <t xml:space="preserve">date of death</t>
  </si>
  <si>
    <t xml:space="preserve">admission date</t>
  </si>
  <si>
    <t xml:space="preserve">hospital discharge date</t>
  </si>
  <si>
    <t xml:space="preserve">Required Hospitalization</t>
  </si>
  <si>
    <t xml:space="preserve">is this an infection?</t>
  </si>
  <si>
    <t xml:space="preserve">infection treatment</t>
  </si>
  <si>
    <t xml:space="preserve">Action taken with Amivantamab</t>
  </si>
  <si>
    <t xml:space="preserve">Action taken with Lazertinib</t>
  </si>
  <si>
    <t xml:space="preserve">Action taken with Carboplatin</t>
  </si>
  <si>
    <t xml:space="preserve">Action taken with Pemetrexed</t>
  </si>
  <si>
    <t xml:space="preserve">Relationship to Amivantamab SC-CF</t>
  </si>
  <si>
    <t xml:space="preserve">Relationship to Lazertinib</t>
  </si>
  <si>
    <t xml:space="preserve">Relationship to Carboplatin</t>
  </si>
  <si>
    <t xml:space="preserve">Relationship to Pemetrexed</t>
  </si>
  <si>
    <t xml:space="preserve">AE of special interest as per protocol</t>
  </si>
  <si>
    <t xml:space="preserve">P73-PL10007</t>
  </si>
  <si>
    <t xml:space="preserve">LIVER CHEMISTRAY ABNORMALITIES(NO FURTHER INFORMATION)</t>
  </si>
  <si>
    <t xml:space="preserve">Recovered or Resolved</t>
  </si>
  <si>
    <t xml:space="preserve">Yes</t>
  </si>
  <si>
    <t xml:space="preserve">No</t>
  </si>
  <si>
    <t xml:space="preserve">Drug Interrupted</t>
  </si>
  <si>
    <t xml:space="preserve">Not Applicable</t>
  </si>
  <si>
    <t xml:space="preserve">Related</t>
  </si>
  <si>
    <t xml:space="preserve">Adverse Events/Serious AEs</t>
  </si>
  <si>
    <t xml:space="preserve">SCROTAL PAIN </t>
  </si>
  <si>
    <t xml:space="preserve">Not Recovered or Not Resolved</t>
  </si>
  <si>
    <t xml:space="preserve">Dose Not Changed</t>
  </si>
  <si>
    <t xml:space="preserve">Not Related</t>
  </si>
  <si>
    <t xml:space="preserve">CONSTIPATION</t>
  </si>
  <si>
    <t xml:space="preserve">SCROTAL PAIN</t>
  </si>
  <si>
    <t xml:space="preserve">Recovering or Resolving</t>
  </si>
  <si>
    <t xml:space="preserve">CONSTIPATION </t>
  </si>
  <si>
    <t xml:space="preserve">RECTAL BLEEDING</t>
  </si>
  <si>
    <t xml:space="preserve">BREATHING DIFFICULTY</t>
  </si>
  <si>
    <t xml:space="preserve">ARG</t>
  </si>
  <si>
    <t xml:space="preserve">AR00091</t>
  </si>
  <si>
    <t xml:space="preserve">FEVER</t>
  </si>
  <si>
    <t xml:space="preserve">HEADACHE</t>
  </si>
  <si>
    <t xml:space="preserve">USA</t>
  </si>
  <si>
    <t xml:space="preserve">BV7-US10007</t>
  </si>
  <si>
    <t xml:space="preserve">P73-PL10008</t>
  </si>
  <si>
    <t xml:space="preserve">Abnormalities?</t>
  </si>
  <si>
    <t xml:space="preserve">Body System or MH Subcategory</t>
  </si>
  <si>
    <t xml:space="preserve">Verbatim term for MH condition/event</t>
  </si>
  <si>
    <t xml:space="preserve">ongoing</t>
  </si>
  <si>
    <t xml:space="preserve">toxicity grade</t>
  </si>
  <si>
    <t xml:space="preserve">Start Date</t>
  </si>
  <si>
    <t xml:space="preserve">End Date</t>
  </si>
  <si>
    <t xml:space="preserve">Respiratory</t>
  </si>
  <si>
    <t xml:space="preserve">DYSPNEA ON EXERTION</t>
  </si>
  <si>
    <t xml:space="preserve">General Medical History</t>
  </si>
  <si>
    <t xml:space="preserve">COUGH </t>
  </si>
  <si>
    <t xml:space="preserve">Musculoskeletal</t>
  </si>
  <si>
    <t xml:space="preserve">CHEST WALL PAIN</t>
  </si>
  <si>
    <t xml:space="preserve">Cardiovascular</t>
  </si>
  <si>
    <t xml:space="preserve">HYPERTENSION</t>
  </si>
  <si>
    <t xml:space="preserve">UN UNK 2017</t>
  </si>
  <si>
    <t xml:space="preserve">CHEST WALL PAIN </t>
  </si>
  <si>
    <t xml:space="preserve">UN JAN 2023</t>
  </si>
  <si>
    <t xml:space="preserve">comment</t>
  </si>
  <si>
    <t xml:space="preserve">planned time point</t>
  </si>
  <si>
    <t xml:space="preserve">Was the sample collected?</t>
  </si>
  <si>
    <t xml:space="preserve">Actual start time</t>
  </si>
  <si>
    <t xml:space="preserve">OMMITED DUE TO MISTAKE</t>
  </si>
  <si>
    <t xml:space="preserve">End of Treatment</t>
  </si>
  <si>
    <t xml:space="preserve">Pharmacokinetics Blood Sample for Lazertinib (EOT)</t>
  </si>
  <si>
    <t xml:space="preserve">WITHDRAWAL</t>
  </si>
  <si>
    <t xml:space="preserve">REFUSE </t>
  </si>
  <si>
    <t xml:space="preserve">Predose</t>
  </si>
  <si>
    <t xml:space="preserve">Pharmacokinetics Blood Sample for Lazertinib (Predose &amp; Postdose)</t>
  </si>
  <si>
    <t xml:space="preserve">2 hours postdose</t>
  </si>
  <si>
    <t xml:space="preserve">Visit Date</t>
  </si>
  <si>
    <t xml:space="preserve">actual start time</t>
  </si>
  <si>
    <t xml:space="preserve">actual end time</t>
  </si>
  <si>
    <t xml:space="preserve">What was the actual dose administered?</t>
  </si>
  <si>
    <t xml:space="preserve">What was the prescribed dose level?</t>
  </si>
  <si>
    <t xml:space="preserve"> If other, specify</t>
  </si>
  <si>
    <t xml:space="preserve"> AE log line, start date, and term</t>
  </si>
  <si>
    <t xml:space="preserve">Calculated dose administered</t>
  </si>
  <si>
    <t xml:space="preserve">Study Drug Administration  </t>
  </si>
  <si>
    <t xml:space="preserve">Study Drug Administration for Lazertinib</t>
  </si>
  <si>
    <t xml:space="preserve">#001 &gt; 28FEB2023 &gt; LIVER CHEMISTRAY ABNORMALITIES(NO FURTHER INFORMATION)</t>
  </si>
  <si>
    <t xml:space="preserve">#015 &gt; 04MAR2023 &gt; RASH ACNEIFORM</t>
  </si>
  <si>
    <t xml:space="preserve">Time</t>
  </si>
  <si>
    <t xml:space="preserve">oxygen saturation</t>
  </si>
  <si>
    <t xml:space="preserve">Pulse</t>
  </si>
  <si>
    <t xml:space="preserve">Systolic Blood Pressure</t>
  </si>
  <si>
    <t xml:space="preserve">Diastolic blood pressure</t>
  </si>
  <si>
    <t xml:space="preserve">weight</t>
  </si>
  <si>
    <t xml:space="preserve">Temperature</t>
  </si>
  <si>
    <t xml:space="preserve">Page</t>
  </si>
  <si>
    <t xml:space="preserve">height</t>
  </si>
  <si>
    <t xml:space="preserve">Body Surface Area</t>
  </si>
  <si>
    <t xml:space="preserve">Collection date</t>
  </si>
  <si>
    <t xml:space="preserve">Collection time</t>
  </si>
  <si>
    <t xml:space="preserve">White blood cell (WBC) count</t>
  </si>
  <si>
    <t xml:space="preserve">Monocytes</t>
  </si>
  <si>
    <t xml:space="preserve">Eosinophils</t>
  </si>
  <si>
    <t xml:space="preserve">Basophils</t>
  </si>
  <si>
    <t xml:space="preserve">Hemoglobin</t>
  </si>
  <si>
    <t xml:space="preserve">Platelet Count</t>
  </si>
  <si>
    <t xml:space="preserve">INR</t>
  </si>
  <si>
    <t xml:space="preserve">Sodium</t>
  </si>
  <si>
    <t xml:space="preserve">Potassium</t>
  </si>
  <si>
    <t xml:space="preserve">Calcium</t>
  </si>
  <si>
    <t xml:space="preserve">Magnesium</t>
  </si>
  <si>
    <t xml:space="preserve">Creatinine</t>
  </si>
  <si>
    <t xml:space="preserve">Total Bilirubin</t>
  </si>
  <si>
    <t xml:space="preserve">Aspartate aminotransferase (AST)</t>
  </si>
  <si>
    <t xml:space="preserve">Alanine aminotransferase (ALT)</t>
  </si>
  <si>
    <t xml:space="preserve">Alkaline Phosphatase</t>
  </si>
  <si>
    <t xml:space="preserve">Lactic Acid Dehydrogenase (LDH)</t>
  </si>
  <si>
    <t xml:space="preserve">Albumin</t>
  </si>
  <si>
    <t xml:space="preserve">Glucose</t>
  </si>
  <si>
    <t xml:space="preserve">Blood Urea Nitrogen</t>
  </si>
  <si>
    <t xml:space="preserve">Total Protein</t>
  </si>
  <si>
    <t xml:space="preserve">Blood</t>
  </si>
  <si>
    <t xml:space="preserve">Protein</t>
  </si>
  <si>
    <t xml:space="preserve">Local Hematology</t>
  </si>
  <si>
    <t xml:space="preserve">Document Name</t>
  </si>
  <si>
    <t xml:space="preserve">Type</t>
  </si>
  <si>
    <t xml:space="preserve">Subtype</t>
  </si>
  <si>
    <t xml:space="preserve">Classification</t>
  </si>
  <si>
    <t xml:space="preserve">Description</t>
  </si>
  <si>
    <t xml:space="preserve">Document Number</t>
  </si>
  <si>
    <t xml:space="preserve">External System Name</t>
  </si>
  <si>
    <t xml:space="preserve">Last Modified By</t>
  </si>
  <si>
    <t xml:space="preserve">Version Created By</t>
  </si>
  <si>
    <t xml:space="preserve">Version Creation Date</t>
  </si>
  <si>
    <t xml:space="preserve">Approval Complete Date</t>
  </si>
  <si>
    <t xml:space="preserve">Document Date</t>
  </si>
  <si>
    <t xml:space="preserve">Document Status</t>
  </si>
  <si>
    <t xml:space="preserve">Process Name</t>
  </si>
  <si>
    <t xml:space="preserve">Study</t>
  </si>
  <si>
    <t xml:space="preserve">Site Management</t>
  </si>
  <si>
    <t xml:space="preserve">Site Initiation</t>
  </si>
  <si>
    <t xml:space="preserve">Site Training Material</t>
  </si>
  <si>
    <t xml:space="preserve">ICH GCP vs BPC France &amp; Les specificites reglementaires locales v3.0</t>
  </si>
  <si>
    <t xml:space="preserve">Name1</t>
  </si>
  <si>
    <t xml:space="preserve">Approved</t>
  </si>
  <si>
    <t xml:space="preserve">Available for Distribution, Study Start</t>
  </si>
  <si>
    <t xml:space="preserve">17000139BLC2001, 17000139BLC3002, 42756493BLC2003, 54179060CLL2032, 54179060CLL3011, 54767414AMY3001, 54767414MMY3019, 54767414SMM3001, 56021927PCR3003, 56021927PCR3020, 56021927PCR4031, 61186372GIC2002, 61186372NSC2002, 61186372NSC2005, 61186372NSC3001, 61186372NSC3002, 61186372NSC3004, 63733657ALZ2002, 64007957MMY1004, 64091742PCR3001, 64264681LYM1002, 64407564MMY1005, 64407564MMY3002, 67652000PCR3002, 67856633LYM1001, 68284528MMY3002, 68284528MMY3004, 70033093AFL3002, 70033093STR3001, 73763989HPB2003, 73763989HPB2004, 73763989PAHPB2005, 73763989PAHPB2008, 73841937NSC3003, 75276617ALE1001, 75276617ALE1002, 77242113PSO3001, 77242113PSO3002, 78278343PCR1001, 79635322MMY1001, 80038114PCR1001, 87189401PCR1001, 88549968MPN1001, 90009530LYM1001, NOPRODRPG0002, TALMMY1001-PT3, TECLIMMY1001-P3, VAC52416BAC3001, VAC85135MPN1001</t>
  </si>
  <si>
    <t xml:space="preserve">Central Trial Documents</t>
  </si>
  <si>
    <t xml:space="preserve">Subject Documents</t>
  </si>
  <si>
    <t xml:space="preserve">Advertisements for Subject Recruitment</t>
  </si>
  <si>
    <t xml:space="preserve">Buttons to wear at various locations for Research Includes Me Activations_English</t>
  </si>
  <si>
    <t xml:space="preserve">Name2</t>
  </si>
  <si>
    <t xml:space="preserve">Available for Distribution, Country Start, Study Start</t>
  </si>
  <si>
    <t xml:space="preserve">17000139BLC2002, 17000139BLC3001, 17000139BLC3002, 17000139BLC3003, 54179060MCL3004, 54767414AMY2009, 54767414MMY3021, 54767414NAP4001, 56021927PCR3011, 61186372GIC2002, 61186372NSC2002, 61186372NSC2005, 61186372NSC3001, 61186372NSC3002, 61186372NSC3004, 61186372NSC3005, 61186372PANSC2001, 64007957AMY2001, 64007957MMY3001, 64007957MMY3003, 64007957MMY3005, 64007957MMY3006, 64407564MMY3002, 64407564MMY3007, 64407564MMY3008, 64407564MMY3009, 67652000PCR3002, 68284528MMY3004, 68284528MMY3005, 73841937NSC3003</t>
  </si>
  <si>
    <t xml:space="preserve">Research Includes Me Brochure_ENG_v4_  Research Includes Me Brochure is only approved for, U.S. audiences and for use in the U.S. and should not be submitted to any OUS health authorities.</t>
  </si>
  <si>
    <t xml:space="preserve">Name3</t>
  </si>
  <si>
    <t xml:space="preserve">17000139BLC2002, 17000139BLC3002, 54179060MCL3004, 54767414MMY2093, 54767414MMY3021, 54767414NAP4001, 61186372GIC2002, 61186372NSC2002, 61186372NSC3001, 61186372NSC3002, 61186372NSC3004, 61186372NSC3005, 61186372PANSC2001, 61186372PANSC2002, 64007957AMY2001, 64007957MMY3001, 64007957MMY3005, 64007957MMY3006, 64042056ALZ2001, 64407564MMY2006, 64407564MMY3002, 64407564MMY3008, 64407564MMY3009, 77242113PSO3001, 77242113PSO3002, 77242113PSO3003, 80202135SLE2001, CNTO1959PSO3017</t>
  </si>
  <si>
    <t xml:space="preserve">Spécificités (réglementaires) locales études GCO Slides SIV - FRANCE_v4.0_04Dec2023</t>
  </si>
  <si>
    <t xml:space="preserve">Name4</t>
  </si>
  <si>
    <t xml:space="preserve">17000139BLC2002, 17000139BLC3002, 17000139BLC3004, 42756493BLC1003, 42756493BLC3004, 54179060CLL2032, 54179060CLL4032, 54767414MMY3019, 54767414MMY3030, 56021927PCR3003, 56021927PCR3011, 61186372HNC2002, 61186372NSC2002, 61186372NSC2007, 63733657ALZ2002, 64007957MMY1008, 64007957MMY3001, 64007957MMY3005, 64007957MMY3006, 64042056ALZ2001, 64407564MMY1004, 64407564MMY1005, 64407564MMY3002, 64407564MMY3009, 67652000PCR3002, 67953964MDD3002, 67953964MDD3003, 67953964MDD3004, 68284528MMY2003, 68284528MMY3004, 70033093ACS3003, 70033093AFL3002, 70033093STR3001, 73763989HPB2004, 73763989PAHPB2008, 73841937NSC1001, 73841937NSC3003, 75276617ALE1001, 75276617ALE1002, 77242113PSO3001, 77242113PSO3002, 77242113UCO2001, 78934804CRD2001, 78934804UCO2001, 79635322MMY1001, 80202135EBF3001, 80202135FNAIT3001, 80202135IIM2001, 81241459PSO2001, 87189401PCR1001, 87704916LUC1001, 87890387STM1001, 88549968MPN1001, 88998377LYM1001, 90009530LYM1001, 90014496LYM1001, AC-065A310, CNTO148UCO3003, CNTO1959CRD3004, CNTO1959CRD3008, CNTO1959UCO3004, MOM-M281-006, TALMMY1001-PT3, TECLIMMY1001-P3, VAC52416BAC3001, VAC85135MPN1001</t>
  </si>
  <si>
    <t xml:space="preserve">Third Parties</t>
  </si>
  <si>
    <t xml:space="preserve">Third Party Oversight</t>
  </si>
  <si>
    <t xml:space="preserve">Ongoing Third Party Oversight</t>
  </si>
  <si>
    <t xml:space="preserve">Acolad SOP list associated with work performed with IPE;</t>
  </si>
  <si>
    <t xml:space="preserve">Name5</t>
  </si>
  <si>
    <t xml:space="preserve">17000139BLC3002, 17000139BLC3004, 42756493BLC3004, 56021927PCR3003, 56021927PCR3011, 56021927PCR3015, 56021927PCR3020, 61186372NSC2002, 61186372NSC2007, 61186372NSC3001, 61186372PANSC2001, 61186372PANSC2002, 61186372PANSC2003, 64407564MMY3002, 67652000PCR3002, 68284528MMY3002, 68284528MMY3004, 73841937NSC3003</t>
  </si>
  <si>
    <t xml:space="preserve">Created By</t>
  </si>
  <si>
    <t xml:space="preserve">Study Country</t>
  </si>
  <si>
    <t xml:space="preserve">Trial Management</t>
  </si>
  <si>
    <t xml:space="preserve">General</t>
  </si>
  <si>
    <t xml:space="preserve">Filenote</t>
  </si>
  <si>
    <t xml:space="preserve">NTF-Incorrect or missing approved dates on Visit Reports</t>
  </si>
  <si>
    <t xml:space="preserve">System</t>
  </si>
  <si>
    <t xml:space="preserve">CHRISTOPHER MAGUIRE</t>
  </si>
  <si>
    <t xml:space="preserve">Country Close, Site Close, Study Close</t>
  </si>
  <si>
    <t xml:space="preserve">Argentina, Argentina, Argentina, Argentina, Australia, Australia, Australia, Austria, Belgium, Belgium, Belgium, Brazil, Brazil, Brazil, Brazil, Brazil, Brazil, Brazil, Canada, Canada, Canada, Canada, China, China, China, China, China, China, China, China, China, China, Czech Republic, Czech Republic, Czech Republic, Czech Republic, Denmark, Denmark, Finland, France, France, France, France, France, Germany, Germany, Germany, Germany, Germany, Hungary, India, India, Israel, Israel, Israel, Israel, Israel, Italy, Italy, Italy, Italy, Italy, Italy, Italy, Italy, Italy, Italy, Japan, Japan, Japan, Japan, Japan, Japan, Korea (the Republic of), Korea (the Republic of), Korea (the Republic of), Korea (the Republic of), Korea (the Republic of), Korea (the Republic of), Malaysia, Mexico, Mexico, Mexico, Mexico, Mexico, Netherlands (Kingdom of the), Netherlands (Kingdom of the), Netherlands (Kingdom of the), Netherlands (Kingdom of the), Poland, Poland, Poland, Poland, Poland, Romania, Romania, Russia, Russia, Russia, Russia, Russia, Russia, Russia, Russia, Russia, Russia, Spain, Spain, Spain, Spain, Spain, Spain, Spain, Spain, Sweden, Sweden, Sweden, Sweden, Sweden, Taiwan, Province of China, Taiwan, Province of China, Thailand, Türkiye, Ukraine, Ukraine, Ukraine, Ukraine, Ukraine, United Kingdom, United Kingdom, United Kingdom, United Kingdom, United Kingdom, United Kingdom, United Kingdom, United Kingdom, United Kingdom, United States, United States, United States, United States, United States, United States, United States, United States, United States, United States, United States, United States, United States</t>
  </si>
  <si>
    <t xml:space="preserve">212082PCR3011, 26866138MMY3037, 28431754DIA3018, 28431754DNE3001, 42756493BLC0002, 42756493BLC2001, 42756493BLC3001, 42756493HCC1001, 42756493LUC2001, 42847922ISM2002, 48816274EDI1001, 53718678RSV1005, 53718678RSV2002, 53718678RSV2004, 53718678RSV2005, 54135419RSD4001, 54135419SUI3002, 54135419TRD2005, 54135419TRD3008, 54179060CLL3011, 54179060LYM3003, 54767414ALL2005, 54767414AMY3001, 54767414MMY1001, 54767414MMY1003, 54767414MMY1004, 54767414MMY2004, 54767414MMY2012, 54767414MMY2036, 54767414MMY2040, 54767414MMY3003, 54767414MMY3004, 54767414MMY3009, 54767414MMY3011, 54767414MMY3012, 54767414NKT2001, 54767414SMM2001, 54767414SMM3001, 56021927PCR1019, 56021927PCR3002, 56021927PCR3003, 56021927PCR3010, 56021927PCR3011, 56022473AML2002, 56022473MDS2002, 56136379HPB2001, 61186372EDI1001</t>
  </si>
  <si>
    <t xml:space="preserve">IP and Trial Supplies</t>
  </si>
  <si>
    <t xml:space="preserve">IP Documentation</t>
  </si>
  <si>
    <t xml:space="preserve">Local CSC Inventory</t>
  </si>
  <si>
    <t xml:space="preserve">212082PCR3011_Inventory_Summary_(Blinded)</t>
  </si>
  <si>
    <t xml:space="preserve">Aurora Buzo</t>
  </si>
  <si>
    <t xml:space="preserve">Not associated to a milestone</t>
  </si>
  <si>
    <t xml:space="preserve">Argentina, Australia, Belgium, Brazil, Bulgaria, Canada, Chile, China, Colombia, Czech Republic, Denmark, Finland, France, Germany, Hungary, Israel, Italy, Japan, Korea (the Republic of), Malaysia, Mexico, Netherlands (Kingdom of the), New Zealand, Peru, Poland, Portugal, Romania, Russia, Singapore, Slovakia, South Africa, Spain, Sweden, Türkiye, Ukraine, United Kingdom, United States</t>
  </si>
  <si>
    <t xml:space="preserve">212082PCR3011</t>
  </si>
  <si>
    <t xml:space="preserve">Tracking Information</t>
  </si>
  <si>
    <t xml:space="preserve">212082PCR3011_Subject_Qualification_Visit_Summary</t>
  </si>
  <si>
    <t xml:space="preserve">Study Close</t>
  </si>
  <si>
    <t xml:space="preserve">Argentina, Australia, Belgium, Brazil, Bulgaria, Canada, Chile, China, Colombia, Czech Republic, Denmark, Finland, France, Germany, Hungary, Israel, Italy, Japan, Korea (the Republic of), Malaysia, Mexico, Netherlands (Kingdom of the), New Zealand, Poland, Portugal, Romania, Russia, Singapore, Slovakia, South Africa, Spain, Sweden, Türkiye, Ukraine, United Kingdom</t>
  </si>
  <si>
    <t xml:space="preserve">IP Allocation Documentation</t>
  </si>
  <si>
    <t xml:space="preserve">Subject Randomization List</t>
  </si>
  <si>
    <t xml:space="preserve">212082PCR3011_Medication_Number_Assignment_Blinded_2021</t>
  </si>
  <si>
    <t xml:space="preserve">Marie Pinard</t>
  </si>
  <si>
    <t xml:space="preserve">Argentina, Australia, Belgium, Brazil, Bulgaria, Canada, Chile, China, Colombia, Czech Republic, Denmark, Finland, France, Germany, Hungary, Israel, Italy, Japan, Korea (the Republic of), Malaysia, Mexico, Netherlands (Kingdom of the), New Zealand, Poland, Portugal, Romania, Russia, Slovakia, South Africa, Spain, Sweden, Türkiye, Ukraine, United Kingdom</t>
  </si>
  <si>
    <t xml:space="preserve">Trial Oversight</t>
  </si>
  <si>
    <t xml:space="preserve">Debarment Statement</t>
  </si>
  <si>
    <t xml:space="preserve">Global QV PI Debarment Check_12Sep2018</t>
  </si>
  <si>
    <t xml:space="preserve">Aurore Francart</t>
  </si>
  <si>
    <t xml:space="preserve">Argentina, Australia, Belgium, Brazil, Bulgaria, Croatia (Hrvatska), Czech Republic, Georgia, Germany, Greece, Hungary, Italy, Japan, Korea (the Republic of), North Macedonia, Poland, Portugal, Romania, Russia, Serbia, Spain, Türkiye, Ukraine, United Kingdom, United States</t>
  </si>
  <si>
    <t xml:space="preserve">54767414MMY3007</t>
  </si>
  <si>
    <t xml:space="preserve">Site Set-up Documentation</t>
  </si>
  <si>
    <t xml:space="preserve">Electronic Source Data Compliance Assessment Questionnaire (ESDCAQ)</t>
  </si>
  <si>
    <t xml:space="preserve">ESDCAQ Part 1</t>
  </si>
  <si>
    <t xml:space="preserve">vi-1072  RPA_Bot2</t>
  </si>
  <si>
    <t xml:space="preserve">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t>
  </si>
  <si>
    <t xml:space="preserve">3402, AA5-KR10001, AB6-KR10003, AH9-KR10005, AI1-KR10001, AI8-KR10003, AJ1-KR10005, AR4-KR10001, AZ9-KR10015, BJ7-KR10001, BN1-KR10001, BQ9-KR10003, BR4-KR10007, C21-KR10003, CB8-KR10003, CC2-KR10005, CK9-KR10001, D10-KR10002, E25-KR10002, F41-KR10003, J98-KR10003, KR00083, L82-KR10005, M24-KR10002, M49-KR10003, N72-KR10001, N84-KR10001, O28-KR10001, O37-KR10002, O70-KR10005, P40-KR10004, Q32-KR10002, Q87-KR10002, R21-KR10005, S59-KR10001, S67-KR10001, S81-KR10002, S84-KR10001, S84-KR10003, S90-KR10002, T62-KR10001, T72-KR10011, U24-KR10005, U75-KR10001, U77-KR10001, V47-KR10001, W24-KR10002, W26-KR10001, W61-KR10001, Z85-KR10003, Z85-KR10004</t>
  </si>
  <si>
    <t xml:space="preserve">17000139BLC3002, 40411813EPY2001, 42756493BLC2003, 42756493BLC3001, 42756493CAN2002, 54135419TRD3013, 54135419TRD4010, 54767414AMY3001, 56021927PCR3011, 56021927PCR3021, 61186372EDI1001, 61186372GIC2002, 61186372HNC2002, 61186372NSC1003, 61186372NSC2002, 61186372NSC2007, 61186372NSC3001, 61186372NSC3002, 61186372NSC3004, 61186372PANSC2001, 61186372PANSC2002, 63723283LUC1001, 64007957MMY1003, 64007957MMY1008, 64007957MMY3005, 64091742PCR3001, 64251330COR1001, 64407564MMY3002, 67652000PCR3002, 68284528MMY3004, 73763989HPB2001, 73841937NSC1001, 73841937NSC3003, 74856665AML1001, 75348780LYM1001, 77242113PSO3002, 86974680NSC1001, 89402638GIC1001, AC-055-315, AC-065A310, AC-065B302, CNTO1275CRD3008, CNTO148UCO3003, CNTO1959CRD4004, CNTO1959PSO4025, CNTO1959UCO3001, CNTO1959UCO3004, PCI-32765FLR3001, TALMMY1001-PT3</t>
  </si>
  <si>
    <t xml:space="preserve">IRB/IEC Trial Approval</t>
  </si>
  <si>
    <t xml:space="preserve">IRB/IEC Composition</t>
  </si>
  <si>
    <t xml:space="preserve">IRB Composition_ENG_01 Mar 2024</t>
  </si>
  <si>
    <t xml:space="preserve">Sian Baek</t>
  </si>
  <si>
    <t xml:space="preserve">Available for Distribution, Country Start, Site Start</t>
  </si>
  <si>
    <t xml:space="preserve">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t>
  </si>
  <si>
    <t xml:space="preserve">AA5-KR10001, AB6-KR10003, AH9-KR10005, AI1-KR10001, AI8-KR10003, AJ1-KR10005, AR4-KR10001, AZ9-KR10015, BJ7-KR10001, BN1-KR10001, BR4-KR10007, C21-KR10003, CB8-KR10003, CC2-KR10005, D10-KR10002, F41-KR10003, J98-KR10003, L82-KR10005, M49-KR10003, N72-KR10001, O28-KR10001, O37-KR10002, P40-KR10004, Q87-KR10003, R21-KR10005, S59-KR10001, S81-KR10002, S84-KR10001, S90-KR10002, T62-KR10001, T72-KR10011, U24-KR10005, U77-KR10001, V47-KR10001, V50-KR10001, W26-KR10001, W61-KR10001, Z85-KR10004</t>
  </si>
  <si>
    <t xml:space="preserve">17000139BLC3002, 40411813EPY2001, 42756493BLC2003, 42756493BLC3001, 54767414AMY3001, 56021927PCR3011, 61186372EDI1001, 61186372GIC2002, 61186372HNC2002, 61186372NSC1003, 61186372NSC2002, 61186372NSC2007, 61186372NSC3001, 61186372NSC3002, 61186372NSC3004, 61186372PANSC2001, 61186372PANSC2002, 64007957MMY1003, 64007957MMY1008, 64007957MMY3001, 64007957MMY3005, 64091742PCR3001, 64407564MMY3002, 67652000PCR3002, 68284528MMY3004, 73841937NSC1001, 73841937NSC3003, 75348780LYM1001, 77242113PSO3002, 86974680NSC1001, AC-055-315, AC-065A310, CNTO148UCO3003, CNTO1959CRD4004, CNTO1959PSO4025, CNTO1959UCO3001, CNTO1959UCO3004, TALMMY1001-PT3</t>
  </si>
  <si>
    <t xml:space="preserve">IRB Composition_KOR_01Sep2023</t>
  </si>
  <si>
    <t xml:space="preserve">Do Kyung An</t>
  </si>
  <si>
    <t xml:space="preserve">Yerim Lee</t>
  </si>
  <si>
    <t xml:space="preserve">AA5-KR10001, AB6-KR10003, AH9-KR10005, AI1-KR10001, AI8-KR10003, AJ1-KR10005, AR4-KR10001, AZ9-KR10015, BJ7-KR10001, BN1-KR10001, BR4-KR10007, C21-KR10003, CB8-KR10003, D10-KR10002, F41-KR10003, J98-KR10003, KR00083, L82-KR10005, M24-KR10002, M49-KR10003, N72-KR10001, O28-KR10001, O37-KR10002, P40-KR10004, Q87-KR10002, R21-KR10005, S59-KR10001, S81-KR10002, S84-KR10001, T62-KR10001, T72-KR10011, U75-KR10001, U77-KR10001, V47-KR10001, V50-KR10001, W26-KR10001, W61-KR10001, Z85-KR10004</t>
  </si>
  <si>
    <t xml:space="preserve">17000139BLC3002, 42756493BLC2003, 42756493BLC3001, 54135419TRD4010, 54767414AMY3001, 56021927PCR3011, 61186372EDI1001, 61186372GIC2002, 61186372HNC2002, 61186372NSC1003, 61186372NSC2002, 61186372NSC2007, 61186372NSC3001, 61186372NSC3002, 61186372NSC3004, 61186372PANSC2001, 61186372PANSC2002, 64007957MMY1003, 64007957MMY3001, 64007957MMY3005, 64091742PCR3001, 64407564MMY3002, 68284528MMY3004, 73841937NSC1001, 73841937NSC3003, 75348780LYM1001, 77242113PSO3002, 86974680NSC1001, AC-055-315, AC-065A310, CNTO1275CRD3008, CNTO148UCO3003, CNTO1959CRD4004, CNTO1959PSO4025, CNTO1959UCO3001, CNTO1959UCO3004, PCI-32765FLR3001, TALMMY1001-PT3</t>
  </si>
  <si>
    <t xml:space="preserve">IRB Composition_ENG_01Sep2023</t>
  </si>
  <si>
    <t xml:space="preserve">AA5-KR10001, AB6-KR10003, AH9-KR10005, AI1-KR10001, AI8-KR10003, AR4-KR10001, AZ9-KR10015, BJ7-KR10001, BN1-KR10001, BR4-KR10007, C21-KR10003, CB8-KR10003, D10-KR10002, F41-KR10003, J98-KR10003, KR00083, L82-KR10005, M24-KR10002, M49-KR10003, N72-KR10001, O28-KR10001, O37-KR10002, P40-KR10004, Q87-KR10002, R21-KR10005, S59-KR10001, S81-KR10002, S84-KR10001, S90-KR10002, T62-KR10001, T72-KR10011, U75-KR10001, U77-KR10001, V47-KR10001, V50-KR10001, W26-KR10001, W61-KR10001, Z85-KR10004</t>
  </si>
  <si>
    <t xml:space="preserve">17000139BLC3002, 42756493BLC2003, 42756493BLC3001, 54135419TRD4010, 54767414AMY3001, 56021927PCR3011, 61186372EDI1001, 61186372GIC2002, 61186372HNC2002, 61186372NSC1003, 61186372NSC2002, 61186372NSC2007, 61186372NSC3001, 61186372NSC3002, 61186372NSC3004, 61186372PANSC2001, 61186372PANSC2002, 64007957MMY1003, 64007957MMY3001, 64091742PCR3001, 64407564MMY3002, 67652000PCR3002, 68284528MMY3004, 73841937NSC1001, 73841937NSC3003, 75348780LYM1001, 77242113PSO3002, 86974680NSC1001, AC-055-315, AC-065A310, CNTO1275CRD3008, CNTO148UCO3003, CNTO1959CRD4004, CNTO1959PSO4025, CNTO1959UCO3001, CNTO1959UCO3004, PCI-32765FLR3001, TALMMY1001-PT3</t>
  </si>
  <si>
    <t xml:space="preserve">IRB member list_KOR_01Mar2023</t>
  </si>
  <si>
    <t xml:space="preserve">SeonAh Heo</t>
  </si>
  <si>
    <t xml:space="preserve">Jihwan Oh</t>
  </si>
  <si>
    <t xml:space="preserve">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 Korea (the Republic of)</t>
  </si>
  <si>
    <t xml:space="preserve">AA5-KR10001, AB6-KR10003, AH9-KR10005, AI1-KR10001, AI8-KR10003, AR4-KR10001, AZ9-KR10015, C21-KR10003, D10-KR10002, J98-KR10003, KR00083, L82-KR10005, M24-KR10002, M49-KR10003, N72-KR10001, O28-KR10001, P40-KR10004, Q32-KR10002, Q87-KR10002, R21-KR10005, S59-KR10001, S67-KR10001, S81-KR10002, S84-KR10001, S90-KR10002, T62-KR10001, T72-KR10011, U24-KR10005, U75-KR10001, U77-KR10001, V47-KR10001, V50-KR10001, W24-KR10002, W26-KR10001, W61-KR10001, Z85-KR10004</t>
  </si>
  <si>
    <t xml:space="preserve">17000139BLC3002, 40411813EPY2001, 54135419TRD3013, 54135419TRD4010, 54767414AMY3001, 56021927PCR3011, 61186372EDI1001, 61186372GIC2002, 61186372NSC1003, 61186372NSC2002, 61186372NSC3001, 61186372NSC3002, 61186372NSC3004, 61186372PANSC2001, 61186372PANSC2002, 64007957MMY1003, 64007957MMY3001, 64091742PCR3001, 64251330COR1001, 64407564MMY3002, 67652000PCR3002, 68284528MMY3004, 73841937NSC1001, 73841937NSC3003, 74856665AML1001, 75348780LYM1001, AC-055-315, AC-065A310, CNTO1275CRD3008, CNTO148UCO3003, CNTO1959CRD4004, CNTO1959PSO4025, CNTO1959UCO3001, CNTO1959UCO3004, PCI-32765FLR3001, TALMMY1001-PT3</t>
  </si>
</sst>
</file>

<file path=xl/styles.xml><?xml version="1.0" encoding="utf-8"?>
<styleSheet xmlns="http://schemas.openxmlformats.org/spreadsheetml/2006/main">
  <numFmts count="9">
    <numFmt numFmtId="164" formatCode="General"/>
    <numFmt numFmtId="165" formatCode="General"/>
    <numFmt numFmtId="166" formatCode="[$-409]d\-mmm\-yy"/>
    <numFmt numFmtId="167" formatCode="d\ mmm\ yy"/>
    <numFmt numFmtId="168" formatCode="[$-409]dd\ mmm\ yyyy\ h:mm\ AM/PM\ "/>
    <numFmt numFmtId="169" formatCode="@"/>
    <numFmt numFmtId="170" formatCode="dd\-mmm\-yyyy"/>
    <numFmt numFmtId="171" formatCode="hh:mm"/>
    <numFmt numFmtId="172" formatCode="[$-409]dd\ mmm\ 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u val="single"/>
      <sz val="11"/>
      <color rgb="FF0000FF"/>
      <name val="Calibri"/>
      <family val="0"/>
      <charset val="1"/>
    </font>
    <font>
      <u val="single"/>
      <sz val="11"/>
      <color rgb="FF0563C1"/>
      <name val="Calibri"/>
      <family val="0"/>
      <charset val="1"/>
    </font>
    <font>
      <sz val="11"/>
      <color rgb="FF000000"/>
      <name val="Noto Sans CJK SC"/>
      <family val="2"/>
    </font>
    <font>
      <b val="true"/>
      <sz val="8"/>
      <color rgb="FF000000"/>
      <name val="&quot;Helvetica Neue&quot;"/>
      <family val="0"/>
      <charset val="1"/>
    </font>
    <font>
      <sz val="8"/>
      <color rgb="FF000000"/>
      <name val="&quot;Helvetica Neue&quot;"/>
      <family val="0"/>
      <charset val="1"/>
    </font>
  </fonts>
  <fills count="11">
    <fill>
      <patternFill patternType="none"/>
    </fill>
    <fill>
      <patternFill patternType="gray125"/>
    </fill>
    <fill>
      <patternFill patternType="solid">
        <fgColor rgb="FFD8D8D8"/>
        <bgColor rgb="FFD9D9D9"/>
      </patternFill>
    </fill>
    <fill>
      <patternFill patternType="solid">
        <fgColor rgb="FFF7CAAC"/>
        <bgColor rgb="FFD4D4D4"/>
      </patternFill>
    </fill>
    <fill>
      <patternFill patternType="solid">
        <fgColor rgb="FFBDD6EE"/>
        <bgColor rgb="FFD0E0E3"/>
      </patternFill>
    </fill>
    <fill>
      <patternFill patternType="solid">
        <fgColor rgb="FF9CC2E5"/>
        <bgColor rgb="FFA4C2F4"/>
      </patternFill>
    </fill>
    <fill>
      <patternFill patternType="solid">
        <fgColor rgb="FFA4C2F4"/>
        <bgColor rgb="FF9CC2E5"/>
      </patternFill>
    </fill>
    <fill>
      <patternFill patternType="solid">
        <fgColor rgb="FFD9D9D9"/>
        <bgColor rgb="FFD8D8D8"/>
      </patternFill>
    </fill>
    <fill>
      <patternFill patternType="solid">
        <fgColor rgb="FFD4D4D4"/>
        <bgColor rgb="FFD8D8D8"/>
      </patternFill>
    </fill>
    <fill>
      <patternFill patternType="solid">
        <fgColor rgb="FFD0E0E3"/>
        <bgColor rgb="FFD9D9D9"/>
      </patternFill>
    </fill>
    <fill>
      <patternFill patternType="solid">
        <fgColor rgb="FFFF9900"/>
        <bgColor rgb="FFFFC0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4"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4" fillId="4" borderId="1" xfId="0" applyFont="true" applyBorder="tru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6" borderId="0" xfId="0" applyFont="true" applyBorder="true" applyAlignment="true" applyProtection="false">
      <alignment horizontal="general" vertical="bottom" textRotation="0" wrapText="true" indent="0" shrinkToFit="false"/>
      <protection locked="true" hidden="false"/>
    </xf>
    <xf numFmtId="169" fontId="4" fillId="6" borderId="0" xfId="0" applyFont="true" applyBorder="tru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8" fillId="8"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true" applyAlignment="true" applyProtection="false">
      <alignment horizontal="general" vertical="bottom" textRotation="0" wrapText="true" indent="0" shrinkToFit="false"/>
      <protection locked="true" hidden="false"/>
    </xf>
    <xf numFmtId="169" fontId="4" fillId="10" borderId="0" xfId="0" applyFont="true" applyBorder="tru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2"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FC000"/>
        </patternFill>
      </fill>
    </dxf>
    <dxf>
      <fill>
        <patternFill patternType="solid">
          <fgColor rgb="00FFFFFF"/>
        </patternFill>
      </fill>
    </dxf>
    <dxf>
      <fill>
        <patternFill patternType="solid">
          <fgColor rgb="FF3D3D3D"/>
          <bgColor rgb="FFFFFFFF"/>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4D4D4"/>
      <rgbColor rgb="FF808080"/>
      <rgbColor rgb="FF9CC2E5"/>
      <rgbColor rgb="FF993366"/>
      <rgbColor rgb="FFFFFFCC"/>
      <rgbColor rgb="FFD9D9D9"/>
      <rgbColor rgb="FF660066"/>
      <rgbColor rgb="FFFF8080"/>
      <rgbColor rgb="FF0563C1"/>
      <rgbColor rgb="FFBDD6EE"/>
      <rgbColor rgb="FF000080"/>
      <rgbColor rgb="FFFF00FF"/>
      <rgbColor rgb="FFFFFF00"/>
      <rgbColor rgb="FF00FFFF"/>
      <rgbColor rgb="FF800080"/>
      <rgbColor rgb="FF800000"/>
      <rgbColor rgb="FF008080"/>
      <rgbColor rgb="FF0000FF"/>
      <rgbColor rgb="FF00CCFF"/>
      <rgbColor rgb="FFD8D8D8"/>
      <rgbColor rgb="FFD0E0E3"/>
      <rgbColor rgb="FFFFFF99"/>
      <rgbColor rgb="FFA4C2F4"/>
      <rgbColor rgb="FFFF99CC"/>
      <rgbColor rgb="FFCC99FF"/>
      <rgbColor rgb="FFF7CAAC"/>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69.13"/>
    <col collapsed="false" customWidth="true" hidden="false" outlineLevel="0" max="2" min="2" style="0" width="24.29"/>
    <col collapsed="false" customWidth="true" hidden="false" outlineLevel="0" max="3" min="3" style="0" width="29.43"/>
    <col collapsed="false" customWidth="true" hidden="false" outlineLevel="0" max="4" min="4" style="0" width="66"/>
    <col collapsed="false" customWidth="true" hidden="false" outlineLevel="0" max="6" min="5" style="0" width="8.71"/>
  </cols>
  <sheetData>
    <row r="1" customFormat="false" ht="14.25" hidden="false" customHeight="true" outlineLevel="0" collapsed="false">
      <c r="A1" s="1" t="s">
        <v>0</v>
      </c>
      <c r="B1" s="1" t="s">
        <v>1</v>
      </c>
      <c r="C1" s="1" t="s">
        <v>2</v>
      </c>
      <c r="D1" s="2" t="s">
        <v>3</v>
      </c>
    </row>
    <row r="2" customFormat="false" ht="14.25" hidden="false" customHeight="true" outlineLevel="0" collapsed="false">
      <c r="A2" s="3" t="s">
        <v>4</v>
      </c>
      <c r="B2" s="3" t="s">
        <v>5</v>
      </c>
      <c r="C2" s="3" t="s">
        <v>6</v>
      </c>
      <c r="D2" s="4"/>
    </row>
    <row r="3" customFormat="false" ht="14.25" hidden="false" customHeight="true" outlineLevel="0" collapsed="false">
      <c r="A3" s="3" t="s">
        <v>7</v>
      </c>
      <c r="B3" s="3" t="s">
        <v>5</v>
      </c>
      <c r="C3" s="3" t="s">
        <v>8</v>
      </c>
      <c r="D3" s="4"/>
    </row>
    <row r="4" customFormat="false" ht="14.25" hidden="false" customHeight="true" outlineLevel="0" collapsed="false">
      <c r="A4" s="3" t="s">
        <v>9</v>
      </c>
      <c r="B4" s="3" t="s">
        <v>5</v>
      </c>
      <c r="C4" s="3" t="s">
        <v>10</v>
      </c>
      <c r="D4" s="4"/>
    </row>
    <row r="5" customFormat="false" ht="14.25" hidden="false" customHeight="true" outlineLevel="0" collapsed="false">
      <c r="A5" s="3" t="s">
        <v>11</v>
      </c>
      <c r="B5" s="3" t="s">
        <v>12</v>
      </c>
      <c r="C5" s="3" t="s">
        <v>13</v>
      </c>
      <c r="D5" s="4"/>
    </row>
    <row r="6" customFormat="false" ht="14.25" hidden="false" customHeight="true" outlineLevel="0" collapsed="false">
      <c r="A6" s="3" t="s">
        <v>14</v>
      </c>
      <c r="B6" s="3" t="s">
        <v>15</v>
      </c>
      <c r="C6" s="3" t="s">
        <v>16</v>
      </c>
      <c r="D6" s="4"/>
    </row>
    <row r="7" customFormat="false" ht="14.25" hidden="false" customHeight="true" outlineLevel="0" collapsed="false">
      <c r="A7" s="3" t="s">
        <v>17</v>
      </c>
      <c r="B7" s="3" t="s">
        <v>18</v>
      </c>
      <c r="C7" s="3" t="s">
        <v>19</v>
      </c>
      <c r="D7" s="4"/>
    </row>
    <row r="8" customFormat="false" ht="14.25" hidden="false" customHeight="true" outlineLevel="0" collapsed="false">
      <c r="A8" s="3" t="s">
        <v>20</v>
      </c>
      <c r="B8" s="3" t="s">
        <v>21</v>
      </c>
      <c r="C8" s="3" t="s">
        <v>22</v>
      </c>
      <c r="D8" s="4"/>
    </row>
    <row r="9" customFormat="false" ht="14.25" hidden="false" customHeight="true" outlineLevel="0" collapsed="false">
      <c r="A9" s="3" t="s">
        <v>23</v>
      </c>
      <c r="B9" s="3" t="s">
        <v>21</v>
      </c>
      <c r="C9" s="3" t="s">
        <v>24</v>
      </c>
      <c r="D9" s="4"/>
    </row>
    <row r="10" customFormat="false" ht="14.25" hidden="false" customHeight="true" outlineLevel="0" collapsed="false">
      <c r="A10" s="3" t="s">
        <v>25</v>
      </c>
      <c r="B10" s="3" t="s">
        <v>21</v>
      </c>
      <c r="C10" s="3" t="s">
        <v>26</v>
      </c>
      <c r="D10" s="4"/>
    </row>
    <row r="11" customFormat="false" ht="14.25" hidden="false" customHeight="true" outlineLevel="0" collapsed="false">
      <c r="A11" s="3" t="s">
        <v>27</v>
      </c>
      <c r="B11" s="3" t="s">
        <v>28</v>
      </c>
      <c r="C11" s="3" t="s">
        <v>29</v>
      </c>
      <c r="D11" s="4"/>
    </row>
    <row r="12" customFormat="false" ht="14.25" hidden="false" customHeight="true" outlineLevel="0" collapsed="false">
      <c r="A12" s="3" t="s">
        <v>30</v>
      </c>
      <c r="B12" s="3" t="s">
        <v>28</v>
      </c>
      <c r="C12" s="3" t="s">
        <v>31</v>
      </c>
      <c r="D12" s="4"/>
    </row>
    <row r="13" customFormat="false" ht="14.25" hidden="false" customHeight="true" outlineLevel="0" collapsed="false">
      <c r="A13" s="3" t="s">
        <v>32</v>
      </c>
      <c r="B13" s="3" t="s">
        <v>28</v>
      </c>
      <c r="C13" s="3" t="s">
        <v>33</v>
      </c>
      <c r="D13" s="4"/>
    </row>
    <row r="14" customFormat="false" ht="14.25" hidden="false" customHeight="true" outlineLevel="0" collapsed="false">
      <c r="A14" s="3" t="s">
        <v>34</v>
      </c>
      <c r="B14" s="3" t="s">
        <v>28</v>
      </c>
      <c r="C14" s="3" t="s">
        <v>35</v>
      </c>
      <c r="D14" s="4"/>
    </row>
    <row r="15" customFormat="false" ht="14.25" hidden="false" customHeight="true" outlineLevel="0" collapsed="false">
      <c r="A15" s="3" t="s">
        <v>36</v>
      </c>
      <c r="B15" s="3" t="s">
        <v>37</v>
      </c>
      <c r="C15" s="3" t="s">
        <v>38</v>
      </c>
      <c r="D15" s="4" t="s">
        <v>39</v>
      </c>
    </row>
    <row r="16" customFormat="false" ht="14.25" hidden="false" customHeight="true" outlineLevel="0" collapsed="false">
      <c r="A16" s="3" t="s">
        <v>40</v>
      </c>
      <c r="B16" s="3" t="s">
        <v>37</v>
      </c>
      <c r="C16" s="3" t="s">
        <v>41</v>
      </c>
      <c r="D16" s="4"/>
    </row>
    <row r="17" customFormat="false" ht="14.25" hidden="false" customHeight="true" outlineLevel="0" collapsed="false">
      <c r="A17" s="3" t="s">
        <v>42</v>
      </c>
      <c r="B17" s="3" t="s">
        <v>37</v>
      </c>
      <c r="C17" s="3" t="s">
        <v>43</v>
      </c>
      <c r="D17" s="4"/>
    </row>
    <row r="18" customFormat="false" ht="14.25" hidden="false" customHeight="true" outlineLevel="0" collapsed="false">
      <c r="A18" s="3" t="s">
        <v>44</v>
      </c>
      <c r="B18" s="3" t="s">
        <v>37</v>
      </c>
      <c r="C18" s="3" t="s">
        <v>45</v>
      </c>
      <c r="D18" s="4"/>
    </row>
    <row r="19" customFormat="false" ht="14.25" hidden="false" customHeight="true" outlineLevel="0" collapsed="false">
      <c r="A19" s="3" t="s">
        <v>46</v>
      </c>
      <c r="B19" s="3" t="s">
        <v>37</v>
      </c>
      <c r="C19" s="3" t="s">
        <v>47</v>
      </c>
      <c r="D19" s="4"/>
    </row>
    <row r="20" customFormat="false" ht="14.25" hidden="false" customHeight="true" outlineLevel="0" collapsed="false">
      <c r="A20" s="3" t="s">
        <v>48</v>
      </c>
      <c r="B20" s="3" t="s">
        <v>37</v>
      </c>
      <c r="C20" s="3" t="s">
        <v>49</v>
      </c>
      <c r="D20" s="4"/>
    </row>
    <row r="21" customFormat="false" ht="14.25" hidden="false" customHeight="true" outlineLevel="0" collapsed="false">
      <c r="A21" s="3" t="s">
        <v>50</v>
      </c>
      <c r="B21" s="3" t="s">
        <v>37</v>
      </c>
      <c r="C21" s="3" t="s">
        <v>51</v>
      </c>
      <c r="D21" s="4"/>
    </row>
    <row r="22" customFormat="false" ht="14.25" hidden="false" customHeight="true" outlineLevel="0" collapsed="false">
      <c r="A22" s="3" t="s">
        <v>52</v>
      </c>
      <c r="B22" s="3" t="s">
        <v>37</v>
      </c>
      <c r="C22" s="3" t="s">
        <v>53</v>
      </c>
      <c r="D22" s="4"/>
    </row>
    <row r="23" customFormat="false" ht="14.25" hidden="false" customHeight="true" outlineLevel="0" collapsed="false">
      <c r="A23" s="3" t="s">
        <v>54</v>
      </c>
      <c r="B23" s="3" t="s">
        <v>37</v>
      </c>
      <c r="C23" s="3" t="s">
        <v>55</v>
      </c>
      <c r="D23" s="4"/>
    </row>
    <row r="24" customFormat="false" ht="14.25" hidden="false" customHeight="true" outlineLevel="0" collapsed="false">
      <c r="A24" s="3" t="s">
        <v>56</v>
      </c>
      <c r="B24" s="3" t="s">
        <v>37</v>
      </c>
      <c r="C24" s="3" t="s">
        <v>57</v>
      </c>
      <c r="D24" s="4"/>
    </row>
    <row r="25" customFormat="false" ht="14.25" hidden="false" customHeight="true" outlineLevel="0" collapsed="false">
      <c r="A25" s="3" t="s">
        <v>58</v>
      </c>
      <c r="B25" s="3" t="s">
        <v>37</v>
      </c>
      <c r="C25" s="3" t="s">
        <v>59</v>
      </c>
      <c r="D25" s="4"/>
    </row>
    <row r="26" customFormat="false" ht="14.25" hidden="false" customHeight="true" outlineLevel="0" collapsed="false">
      <c r="A26" s="3" t="s">
        <v>60</v>
      </c>
      <c r="B26" s="3" t="s">
        <v>37</v>
      </c>
      <c r="C26" s="3" t="s">
        <v>61</v>
      </c>
      <c r="D26" s="4"/>
    </row>
    <row r="27" customFormat="false" ht="14.25" hidden="false" customHeight="true" outlineLevel="0" collapsed="false">
      <c r="A27" s="3" t="s">
        <v>62</v>
      </c>
      <c r="B27" s="3" t="s">
        <v>37</v>
      </c>
      <c r="C27" s="3" t="s">
        <v>63</v>
      </c>
      <c r="D27" s="4"/>
    </row>
    <row r="28" customFormat="false" ht="14.25" hidden="false" customHeight="true" outlineLevel="0" collapsed="false">
      <c r="A28" s="3" t="s">
        <v>64</v>
      </c>
      <c r="B28" s="3" t="s">
        <v>37</v>
      </c>
      <c r="C28" s="3" t="s">
        <v>65</v>
      </c>
      <c r="D28" s="4"/>
    </row>
    <row r="29" customFormat="false" ht="14.25" hidden="false" customHeight="true" outlineLevel="0" collapsed="false">
      <c r="A29" s="3" t="s">
        <v>66</v>
      </c>
      <c r="B29" s="3" t="s">
        <v>37</v>
      </c>
      <c r="C29" s="3" t="s">
        <v>67</v>
      </c>
      <c r="D29" s="4"/>
    </row>
    <row r="30" customFormat="false" ht="14.25" hidden="false" customHeight="true" outlineLevel="0" collapsed="false">
      <c r="A30" s="3" t="s">
        <v>68</v>
      </c>
      <c r="B30" s="3" t="s">
        <v>37</v>
      </c>
      <c r="C30" s="3" t="s">
        <v>69</v>
      </c>
      <c r="D30" s="4"/>
    </row>
    <row r="31" customFormat="false" ht="14.25" hidden="false" customHeight="true" outlineLevel="0" collapsed="false">
      <c r="A31" s="3" t="s">
        <v>70</v>
      </c>
      <c r="B31" s="3" t="s">
        <v>71</v>
      </c>
      <c r="C31" s="3" t="s">
        <v>72</v>
      </c>
      <c r="D31" s="4" t="s">
        <v>39</v>
      </c>
    </row>
    <row r="32" customFormat="false" ht="14.25" hidden="false" customHeight="true" outlineLevel="0" collapsed="false">
      <c r="A32" s="3" t="s">
        <v>73</v>
      </c>
      <c r="B32" s="3" t="s">
        <v>71</v>
      </c>
      <c r="C32" s="3" t="s">
        <v>74</v>
      </c>
      <c r="D32" s="4"/>
    </row>
    <row r="33" customFormat="false" ht="14.25" hidden="false" customHeight="true" outlineLevel="0" collapsed="false">
      <c r="A33" s="3" t="s">
        <v>75</v>
      </c>
      <c r="B33" s="3" t="s">
        <v>71</v>
      </c>
      <c r="C33" s="3" t="s">
        <v>76</v>
      </c>
      <c r="D33" s="4"/>
    </row>
    <row r="34" customFormat="false" ht="14.25" hidden="false" customHeight="true" outlineLevel="0" collapsed="false">
      <c r="A34" s="3" t="s">
        <v>77</v>
      </c>
      <c r="B34" s="3" t="s">
        <v>78</v>
      </c>
      <c r="C34" s="3" t="s">
        <v>79</v>
      </c>
      <c r="D34" s="4" t="s">
        <v>39</v>
      </c>
    </row>
    <row r="35" customFormat="false" ht="14.25" hidden="false" customHeight="true" outlineLevel="0" collapsed="false">
      <c r="A35" s="3" t="s">
        <v>80</v>
      </c>
      <c r="B35" s="3" t="s">
        <v>78</v>
      </c>
      <c r="C35" s="3" t="s">
        <v>81</v>
      </c>
      <c r="D35" s="4"/>
    </row>
    <row r="36" customFormat="false" ht="14.25" hidden="false" customHeight="true" outlineLevel="0" collapsed="false">
      <c r="A36" s="3" t="s">
        <v>82</v>
      </c>
      <c r="B36" s="3" t="s">
        <v>78</v>
      </c>
      <c r="C36" s="3" t="s">
        <v>83</v>
      </c>
      <c r="D36" s="4"/>
    </row>
    <row r="37" customFormat="false" ht="14.25" hidden="false" customHeight="true" outlineLevel="0" collapsed="false">
      <c r="A37" s="3" t="s">
        <v>84</v>
      </c>
      <c r="B37" s="3" t="s">
        <v>78</v>
      </c>
      <c r="C37" s="3" t="s">
        <v>85</v>
      </c>
      <c r="D37" s="4"/>
    </row>
    <row r="38" customFormat="false" ht="14.25" hidden="false" customHeight="true" outlineLevel="0" collapsed="false">
      <c r="A38" s="3" t="s">
        <v>86</v>
      </c>
      <c r="B38" s="3" t="s">
        <v>78</v>
      </c>
      <c r="C38" s="3" t="s">
        <v>87</v>
      </c>
      <c r="D38" s="4"/>
    </row>
    <row r="39" customFormat="false" ht="14.25" hidden="false" customHeight="true" outlineLevel="0" collapsed="false">
      <c r="A39" s="3" t="s">
        <v>88</v>
      </c>
      <c r="B39" s="3" t="s">
        <v>78</v>
      </c>
      <c r="C39" s="3" t="s">
        <v>89</v>
      </c>
      <c r="D39" s="4"/>
    </row>
    <row r="40" customFormat="false" ht="14.25" hidden="false" customHeight="true" outlineLevel="0" collapsed="false">
      <c r="A40" s="3" t="s">
        <v>90</v>
      </c>
      <c r="B40" s="3" t="s">
        <v>78</v>
      </c>
      <c r="C40" s="3" t="s">
        <v>91</v>
      </c>
      <c r="D40" s="4"/>
    </row>
    <row r="41" customFormat="false" ht="14.25" hidden="false" customHeight="true" outlineLevel="0" collapsed="false">
      <c r="A41" s="3" t="s">
        <v>92</v>
      </c>
      <c r="B41" s="3" t="s">
        <v>78</v>
      </c>
      <c r="C41" s="3" t="s">
        <v>93</v>
      </c>
      <c r="D41" s="4"/>
    </row>
    <row r="42" customFormat="false" ht="14.25" hidden="false" customHeight="true" outlineLevel="0" collapsed="false">
      <c r="A42" s="3" t="s">
        <v>94</v>
      </c>
      <c r="B42" s="3" t="s">
        <v>78</v>
      </c>
      <c r="C42" s="3" t="s">
        <v>95</v>
      </c>
      <c r="D42" s="4"/>
    </row>
    <row r="43" customFormat="false" ht="14.25" hidden="false" customHeight="true" outlineLevel="0" collapsed="false">
      <c r="A43" s="3" t="s">
        <v>96</v>
      </c>
      <c r="B43" s="3" t="s">
        <v>78</v>
      </c>
      <c r="C43" s="3" t="s">
        <v>97</v>
      </c>
      <c r="D43" s="4"/>
    </row>
    <row r="44" customFormat="false" ht="14.25" hidden="false" customHeight="true" outlineLevel="0" collapsed="false">
      <c r="A44" s="3" t="s">
        <v>98</v>
      </c>
      <c r="B44" s="3" t="s">
        <v>78</v>
      </c>
      <c r="C44" s="3" t="s">
        <v>99</v>
      </c>
      <c r="D44" s="4"/>
    </row>
    <row r="45" customFormat="false" ht="14.25" hidden="false" customHeight="true" outlineLevel="0" collapsed="false">
      <c r="A45" s="3" t="s">
        <v>100</v>
      </c>
      <c r="B45" s="3" t="s">
        <v>78</v>
      </c>
      <c r="C45" s="3" t="s">
        <v>101</v>
      </c>
      <c r="D45" s="4"/>
    </row>
    <row r="46" customFormat="false" ht="14.25" hidden="false" customHeight="true" outlineLevel="0" collapsed="false">
      <c r="A46" s="3" t="s">
        <v>102</v>
      </c>
      <c r="B46" s="3" t="s">
        <v>103</v>
      </c>
      <c r="D46" s="4" t="s">
        <v>104</v>
      </c>
    </row>
    <row r="47" customFormat="false" ht="14.25" hidden="false" customHeight="true" outlineLevel="0" collapsed="false">
      <c r="A47" s="3" t="s">
        <v>102</v>
      </c>
      <c r="B47" s="3" t="s">
        <v>103</v>
      </c>
      <c r="D47" s="4" t="s">
        <v>104</v>
      </c>
    </row>
    <row r="48" customFormat="false" ht="14.25" hidden="false" customHeight="true" outlineLevel="0" collapsed="false">
      <c r="A48" s="3" t="s">
        <v>102</v>
      </c>
      <c r="B48" s="3" t="s">
        <v>103</v>
      </c>
      <c r="D48" s="4" t="s">
        <v>104</v>
      </c>
    </row>
    <row r="49" customFormat="false" ht="14.25" hidden="false" customHeight="true" outlineLevel="0" collapsed="false">
      <c r="A49" s="3" t="s">
        <v>102</v>
      </c>
      <c r="B49" s="3" t="s">
        <v>103</v>
      </c>
      <c r="D49" s="4" t="s">
        <v>104</v>
      </c>
    </row>
    <row r="50" customFormat="false" ht="14.25" hidden="false" customHeight="true" outlineLevel="0" collapsed="false">
      <c r="A50" s="3" t="s">
        <v>102</v>
      </c>
      <c r="B50" s="3" t="s">
        <v>103</v>
      </c>
      <c r="D50" s="4" t="s">
        <v>104</v>
      </c>
    </row>
    <row r="51" customFormat="false" ht="14.25" hidden="false" customHeight="true" outlineLevel="0" collapsed="false">
      <c r="A51" s="3" t="s">
        <v>102</v>
      </c>
      <c r="B51" s="3" t="s">
        <v>103</v>
      </c>
      <c r="D51" s="4" t="s">
        <v>104</v>
      </c>
    </row>
    <row r="52" customFormat="false" ht="14.25" hidden="false" customHeight="true" outlineLevel="0" collapsed="false">
      <c r="A52" s="3" t="s">
        <v>102</v>
      </c>
      <c r="B52" s="3" t="s">
        <v>103</v>
      </c>
      <c r="D52" s="4" t="s">
        <v>104</v>
      </c>
    </row>
    <row r="53" customFormat="false" ht="14.25" hidden="false" customHeight="true" outlineLevel="0" collapsed="false">
      <c r="A53" s="3" t="s">
        <v>102</v>
      </c>
      <c r="B53" s="3" t="s">
        <v>103</v>
      </c>
      <c r="D53" s="4" t="s">
        <v>104</v>
      </c>
    </row>
    <row r="54" customFormat="false" ht="14.25" hidden="false" customHeight="true" outlineLevel="0" collapsed="false">
      <c r="A54" s="3" t="s">
        <v>102</v>
      </c>
      <c r="B54" s="3" t="s">
        <v>103</v>
      </c>
      <c r="D54" s="4" t="s">
        <v>104</v>
      </c>
    </row>
    <row r="55" customFormat="false" ht="14.25" hidden="false" customHeight="true" outlineLevel="0" collapsed="false">
      <c r="A55" s="3" t="s">
        <v>102</v>
      </c>
      <c r="B55" s="3" t="s">
        <v>103</v>
      </c>
      <c r="D55" s="4" t="s">
        <v>104</v>
      </c>
    </row>
    <row r="56" customFormat="false" ht="14.25" hidden="false" customHeight="true" outlineLevel="0" collapsed="false">
      <c r="A56" s="3" t="s">
        <v>102</v>
      </c>
      <c r="B56" s="3" t="s">
        <v>103</v>
      </c>
      <c r="D56" s="4" t="s">
        <v>104</v>
      </c>
    </row>
    <row r="57" customFormat="false" ht="14.25" hidden="false" customHeight="true" outlineLevel="0" collapsed="false">
      <c r="A57" s="3" t="s">
        <v>102</v>
      </c>
      <c r="B57" s="3" t="s">
        <v>103</v>
      </c>
      <c r="D57" s="4" t="s">
        <v>104</v>
      </c>
    </row>
    <row r="58" customFormat="false" ht="14.25" hidden="false" customHeight="true" outlineLevel="0" collapsed="false">
      <c r="A58" s="3" t="s">
        <v>102</v>
      </c>
      <c r="B58" s="3" t="s">
        <v>103</v>
      </c>
      <c r="D58" s="4" t="s">
        <v>104</v>
      </c>
    </row>
    <row r="59" customFormat="false" ht="14.25" hidden="false" customHeight="true" outlineLevel="0" collapsed="false">
      <c r="A59" s="3" t="s">
        <v>102</v>
      </c>
      <c r="B59" s="3" t="s">
        <v>103</v>
      </c>
      <c r="D59" s="4" t="s">
        <v>104</v>
      </c>
    </row>
    <row r="60" customFormat="false" ht="14.25" hidden="false" customHeight="true" outlineLevel="0" collapsed="false">
      <c r="A60" s="3" t="s">
        <v>102</v>
      </c>
      <c r="B60" s="3" t="s">
        <v>105</v>
      </c>
      <c r="D60" s="4" t="s">
        <v>106</v>
      </c>
    </row>
    <row r="61" customFormat="false" ht="14.25" hidden="false" customHeight="true" outlineLevel="0" collapsed="false">
      <c r="A61" s="3" t="s">
        <v>102</v>
      </c>
      <c r="B61" s="3" t="s">
        <v>103</v>
      </c>
      <c r="D61" s="4" t="s">
        <v>104</v>
      </c>
    </row>
    <row r="62" customFormat="false" ht="14.25" hidden="false" customHeight="true" outlineLevel="0" collapsed="false">
      <c r="A62" s="3" t="s">
        <v>102</v>
      </c>
      <c r="B62" s="3" t="s">
        <v>103</v>
      </c>
      <c r="D62" s="4" t="s">
        <v>104</v>
      </c>
    </row>
    <row r="63" customFormat="false" ht="14.25" hidden="false" customHeight="true" outlineLevel="0" collapsed="false">
      <c r="A63" s="3" t="s">
        <v>102</v>
      </c>
      <c r="B63" s="3" t="s">
        <v>103</v>
      </c>
      <c r="D63" s="4" t="s">
        <v>104</v>
      </c>
    </row>
    <row r="64" customFormat="false" ht="14.25" hidden="false" customHeight="true" outlineLevel="0" collapsed="false">
      <c r="A64" s="3" t="s">
        <v>102</v>
      </c>
      <c r="B64" s="3" t="s">
        <v>103</v>
      </c>
      <c r="D64" s="4" t="s">
        <v>104</v>
      </c>
    </row>
    <row r="65" customFormat="false" ht="14.25" hidden="false" customHeight="true" outlineLevel="0" collapsed="false">
      <c r="A65" s="3" t="s">
        <v>102</v>
      </c>
      <c r="B65" s="3" t="s">
        <v>105</v>
      </c>
      <c r="D65" s="4" t="s">
        <v>106</v>
      </c>
    </row>
    <row r="66" customFormat="false" ht="14.25" hidden="false" customHeight="true" outlineLevel="0" collapsed="false">
      <c r="A66" s="3" t="s">
        <v>102</v>
      </c>
      <c r="B66" s="3" t="s">
        <v>107</v>
      </c>
      <c r="D66" s="4" t="s">
        <v>106</v>
      </c>
    </row>
    <row r="67" customFormat="false" ht="14.25" hidden="false" customHeight="true" outlineLevel="0" collapsed="false">
      <c r="A67" s="3" t="s">
        <v>102</v>
      </c>
      <c r="B67" s="3" t="s">
        <v>108</v>
      </c>
      <c r="C67" s="3" t="s">
        <v>109</v>
      </c>
      <c r="D67" s="4"/>
    </row>
    <row r="68" customFormat="false" ht="14.25" hidden="false" customHeight="true" outlineLevel="0" collapsed="false">
      <c r="A68" s="3" t="s">
        <v>102</v>
      </c>
      <c r="B68" s="3" t="s">
        <v>110</v>
      </c>
      <c r="C68" s="3" t="s">
        <v>111</v>
      </c>
      <c r="D68" s="4"/>
    </row>
    <row r="69" customFormat="false" ht="14.25" hidden="false" customHeight="true" outlineLevel="0" collapsed="false">
      <c r="A69" s="3" t="s">
        <v>102</v>
      </c>
      <c r="B69" s="3" t="s">
        <v>112</v>
      </c>
      <c r="C69" s="3" t="s">
        <v>111</v>
      </c>
      <c r="D69" s="4"/>
    </row>
    <row r="70" customFormat="false" ht="14.25" hidden="false" customHeight="true" outlineLevel="0" collapsed="false">
      <c r="A70" s="3" t="s">
        <v>102</v>
      </c>
      <c r="B70" s="3" t="s">
        <v>113</v>
      </c>
      <c r="C70" s="3" t="s">
        <v>111</v>
      </c>
      <c r="D70" s="4"/>
    </row>
    <row r="71" customFormat="false" ht="14.25" hidden="false" customHeight="true" outlineLevel="0" collapsed="false">
      <c r="A71" s="3" t="s">
        <v>102</v>
      </c>
      <c r="B71" s="3" t="s">
        <v>114</v>
      </c>
      <c r="C71" s="3" t="s">
        <v>115</v>
      </c>
      <c r="D71" s="4"/>
    </row>
    <row r="72" customFormat="false" ht="14.25" hidden="false" customHeight="true" outlineLevel="0" collapsed="false">
      <c r="A72" s="3" t="s">
        <v>102</v>
      </c>
      <c r="B72" s="3" t="s">
        <v>116</v>
      </c>
      <c r="C72" s="3" t="s">
        <v>111</v>
      </c>
      <c r="D72" s="4"/>
    </row>
    <row r="73" customFormat="false" ht="14.25" hidden="false" customHeight="true" outlineLevel="0" collapsed="false">
      <c r="A73" s="3" t="s">
        <v>102</v>
      </c>
      <c r="B73" s="3" t="s">
        <v>117</v>
      </c>
      <c r="C73" s="3" t="s">
        <v>118</v>
      </c>
      <c r="D73" s="4"/>
    </row>
    <row r="74" customFormat="false" ht="14.25" hidden="false" customHeight="true" outlineLevel="0" collapsed="false">
      <c r="D74" s="4"/>
    </row>
    <row r="75" customFormat="false" ht="14.25" hidden="false" customHeight="true" outlineLevel="0" collapsed="false">
      <c r="D75" s="4"/>
    </row>
    <row r="76" customFormat="false" ht="14.25" hidden="false" customHeight="true" outlineLevel="0" collapsed="false">
      <c r="D76" s="4"/>
    </row>
    <row r="77" customFormat="false" ht="14.25" hidden="false" customHeight="true" outlineLevel="0" collapsed="false">
      <c r="D77" s="4"/>
    </row>
    <row r="78" customFormat="false" ht="14.25" hidden="false" customHeight="true" outlineLevel="0" collapsed="false">
      <c r="D78" s="4"/>
    </row>
    <row r="79" customFormat="false" ht="14.25" hidden="false" customHeight="true" outlineLevel="0" collapsed="false">
      <c r="D79" s="4"/>
    </row>
    <row r="80" customFormat="false" ht="14.25" hidden="false" customHeight="true" outlineLevel="0" collapsed="false">
      <c r="D80" s="4"/>
    </row>
    <row r="81" customFormat="false" ht="14.25" hidden="false" customHeight="true" outlineLevel="0" collapsed="false">
      <c r="D81" s="4"/>
    </row>
    <row r="82" customFormat="false" ht="14.25" hidden="false" customHeight="true" outlineLevel="0" collapsed="false">
      <c r="D82" s="4"/>
    </row>
    <row r="83" customFormat="false" ht="14.25" hidden="false" customHeight="true" outlineLevel="0" collapsed="false">
      <c r="D83" s="4"/>
    </row>
    <row r="84" customFormat="false" ht="14.25" hidden="false" customHeight="true" outlineLevel="0" collapsed="false">
      <c r="D84" s="4"/>
    </row>
    <row r="85" customFormat="false" ht="14.25" hidden="false" customHeight="true" outlineLevel="0" collapsed="false">
      <c r="D85" s="4"/>
    </row>
    <row r="86" customFormat="false" ht="14.25" hidden="false" customHeight="true" outlineLevel="0" collapsed="false">
      <c r="D86" s="4"/>
    </row>
    <row r="87" customFormat="false" ht="14.25" hidden="false" customHeight="true" outlineLevel="0" collapsed="false">
      <c r="D87" s="4"/>
    </row>
    <row r="88" customFormat="false" ht="14.25" hidden="false" customHeight="true" outlineLevel="0" collapsed="false">
      <c r="D88" s="4"/>
    </row>
    <row r="89" customFormat="false" ht="14.25" hidden="false" customHeight="true" outlineLevel="0" collapsed="false">
      <c r="D89" s="4"/>
    </row>
    <row r="90" customFormat="false" ht="14.25" hidden="false" customHeight="true" outlineLevel="0" collapsed="false">
      <c r="D90" s="4"/>
    </row>
    <row r="91" customFormat="false" ht="14.25" hidden="false" customHeight="true" outlineLevel="0" collapsed="false">
      <c r="D91" s="4"/>
    </row>
    <row r="92" customFormat="false" ht="14.25" hidden="false" customHeight="true" outlineLevel="0" collapsed="false">
      <c r="D92" s="4"/>
    </row>
    <row r="93" customFormat="false" ht="14.25" hidden="false" customHeight="true" outlineLevel="0" collapsed="false">
      <c r="D93" s="4"/>
    </row>
    <row r="94" customFormat="false" ht="14.25" hidden="false" customHeight="true" outlineLevel="0" collapsed="false">
      <c r="D94" s="4"/>
    </row>
    <row r="95" customFormat="false" ht="14.25" hidden="false" customHeight="true" outlineLevel="0" collapsed="false">
      <c r="D95" s="4"/>
    </row>
    <row r="96" customFormat="false" ht="14.25" hidden="false" customHeight="true" outlineLevel="0" collapsed="false">
      <c r="D96" s="4"/>
    </row>
    <row r="97" customFormat="false" ht="14.25" hidden="false" customHeight="true" outlineLevel="0" collapsed="false">
      <c r="D97" s="4"/>
    </row>
    <row r="98" customFormat="false" ht="14.25" hidden="false" customHeight="true" outlineLevel="0" collapsed="false">
      <c r="D98" s="4"/>
    </row>
    <row r="99" customFormat="false" ht="14.25" hidden="false" customHeight="true" outlineLevel="0" collapsed="false">
      <c r="D99" s="4"/>
    </row>
    <row r="100" customFormat="false" ht="14.25" hidden="false" customHeight="true" outlineLevel="0" collapsed="false">
      <c r="D100" s="4"/>
    </row>
    <row r="101" customFormat="false" ht="14.25" hidden="false" customHeight="true" outlineLevel="0" collapsed="false">
      <c r="D101" s="4"/>
    </row>
    <row r="102" customFormat="false" ht="14.25" hidden="false" customHeight="true" outlineLevel="0" collapsed="false">
      <c r="D102" s="4"/>
    </row>
    <row r="103" customFormat="false" ht="14.25" hidden="false" customHeight="true" outlineLevel="0" collapsed="false">
      <c r="D103" s="4"/>
    </row>
    <row r="104" customFormat="false" ht="14.25" hidden="false" customHeight="true" outlineLevel="0" collapsed="false">
      <c r="D104" s="4"/>
    </row>
    <row r="105" customFormat="false" ht="14.25" hidden="false" customHeight="true" outlineLevel="0" collapsed="false">
      <c r="D105" s="4"/>
    </row>
    <row r="106" customFormat="false" ht="14.25" hidden="false" customHeight="true" outlineLevel="0" collapsed="false">
      <c r="D106" s="4"/>
    </row>
    <row r="107" customFormat="false" ht="14.25" hidden="false" customHeight="true" outlineLevel="0" collapsed="false">
      <c r="D107" s="4"/>
    </row>
    <row r="108" customFormat="false" ht="14.25" hidden="false" customHeight="true" outlineLevel="0" collapsed="false">
      <c r="D108" s="4"/>
    </row>
    <row r="109" customFormat="false" ht="14.25" hidden="false" customHeight="true" outlineLevel="0" collapsed="false">
      <c r="D109" s="4"/>
    </row>
    <row r="110" customFormat="false" ht="14.25" hidden="false" customHeight="true" outlineLevel="0" collapsed="false">
      <c r="D110" s="4"/>
    </row>
    <row r="111" customFormat="false" ht="14.25" hidden="false" customHeight="true" outlineLevel="0" collapsed="false">
      <c r="D111" s="4"/>
    </row>
    <row r="112" customFormat="false" ht="14.25" hidden="false" customHeight="true" outlineLevel="0" collapsed="false">
      <c r="D112" s="4"/>
    </row>
    <row r="113" customFormat="false" ht="14.25" hidden="false" customHeight="true" outlineLevel="0" collapsed="false">
      <c r="D113" s="4"/>
    </row>
    <row r="114" customFormat="false" ht="14.25" hidden="false" customHeight="true" outlineLevel="0" collapsed="false">
      <c r="D114" s="4"/>
    </row>
    <row r="115" customFormat="false" ht="14.25" hidden="false" customHeight="true" outlineLevel="0" collapsed="false">
      <c r="D115" s="4"/>
    </row>
    <row r="116" customFormat="false" ht="14.25" hidden="false" customHeight="true" outlineLevel="0" collapsed="false">
      <c r="D116" s="4"/>
    </row>
    <row r="117" customFormat="false" ht="14.25" hidden="false" customHeight="true" outlineLevel="0" collapsed="false">
      <c r="D117" s="4"/>
    </row>
    <row r="118" customFormat="false" ht="14.25" hidden="false" customHeight="true" outlineLevel="0" collapsed="false">
      <c r="D118" s="4"/>
    </row>
    <row r="119" customFormat="false" ht="14.25" hidden="false" customHeight="true" outlineLevel="0" collapsed="false">
      <c r="D119" s="4"/>
    </row>
    <row r="120" customFormat="false" ht="14.25" hidden="false" customHeight="true" outlineLevel="0" collapsed="false">
      <c r="D120" s="4"/>
    </row>
    <row r="121" customFormat="false" ht="14.25" hidden="false" customHeight="true" outlineLevel="0" collapsed="false">
      <c r="D121" s="4"/>
    </row>
    <row r="122" customFormat="false" ht="14.25" hidden="false" customHeight="true" outlineLevel="0" collapsed="false">
      <c r="D122" s="4"/>
    </row>
    <row r="123" customFormat="false" ht="14.25" hidden="false" customHeight="true" outlineLevel="0" collapsed="false">
      <c r="D123" s="4"/>
    </row>
    <row r="124" customFormat="false" ht="14.25" hidden="false" customHeight="true" outlineLevel="0" collapsed="false">
      <c r="D124" s="4"/>
    </row>
    <row r="125" customFormat="false" ht="14.25" hidden="false" customHeight="true" outlineLevel="0" collapsed="false">
      <c r="D125" s="4"/>
    </row>
    <row r="126" customFormat="false" ht="14.25" hidden="false" customHeight="true" outlineLevel="0" collapsed="false">
      <c r="D126" s="4"/>
    </row>
    <row r="127" customFormat="false" ht="14.25" hidden="false" customHeight="true" outlineLevel="0" collapsed="false">
      <c r="D127" s="4"/>
    </row>
    <row r="128" customFormat="false" ht="14.25" hidden="false" customHeight="true" outlineLevel="0" collapsed="false">
      <c r="D128" s="4"/>
    </row>
    <row r="129" customFormat="false" ht="14.25" hidden="false" customHeight="true" outlineLevel="0" collapsed="false">
      <c r="D129" s="4"/>
    </row>
    <row r="130" customFormat="false" ht="14.25" hidden="false" customHeight="true" outlineLevel="0" collapsed="false">
      <c r="D130" s="4"/>
    </row>
    <row r="131" customFormat="false" ht="14.25" hidden="false" customHeight="true" outlineLevel="0" collapsed="false">
      <c r="D131" s="4"/>
    </row>
    <row r="132" customFormat="false" ht="14.25" hidden="false" customHeight="true" outlineLevel="0" collapsed="false">
      <c r="D132" s="4"/>
    </row>
    <row r="133" customFormat="false" ht="14.25" hidden="false" customHeight="true" outlineLevel="0" collapsed="false">
      <c r="D133" s="4"/>
    </row>
    <row r="134" customFormat="false" ht="14.25" hidden="false" customHeight="true" outlineLevel="0" collapsed="false">
      <c r="D134" s="4"/>
    </row>
    <row r="135" customFormat="false" ht="14.25" hidden="false" customHeight="true" outlineLevel="0" collapsed="false">
      <c r="D135" s="4"/>
    </row>
    <row r="136" customFormat="false" ht="14.25" hidden="false" customHeight="true" outlineLevel="0" collapsed="false">
      <c r="D136" s="4"/>
    </row>
    <row r="137" customFormat="false" ht="14.25" hidden="false" customHeight="true" outlineLevel="0" collapsed="false">
      <c r="D137" s="4"/>
    </row>
    <row r="138" customFormat="false" ht="14.25" hidden="false" customHeight="true" outlineLevel="0" collapsed="false">
      <c r="D138" s="4"/>
    </row>
    <row r="139" customFormat="false" ht="14.25" hidden="false" customHeight="true" outlineLevel="0" collapsed="false">
      <c r="D139" s="4"/>
    </row>
    <row r="140" customFormat="false" ht="14.25" hidden="false" customHeight="true" outlineLevel="0" collapsed="false">
      <c r="D140" s="4"/>
    </row>
    <row r="141" customFormat="false" ht="14.25" hidden="false" customHeight="true" outlineLevel="0" collapsed="false">
      <c r="D141" s="4"/>
    </row>
    <row r="142" customFormat="false" ht="14.25" hidden="false" customHeight="true" outlineLevel="0" collapsed="false">
      <c r="D142" s="4"/>
    </row>
    <row r="143" customFormat="false" ht="14.25" hidden="false" customHeight="true" outlineLevel="0" collapsed="false">
      <c r="D143" s="4"/>
    </row>
    <row r="144" customFormat="false" ht="14.25" hidden="false" customHeight="true" outlineLevel="0" collapsed="false">
      <c r="D144" s="4"/>
    </row>
    <row r="145" customFormat="false" ht="14.25" hidden="false" customHeight="true" outlineLevel="0" collapsed="false">
      <c r="D145" s="4"/>
    </row>
    <row r="146" customFormat="false" ht="14.25" hidden="false" customHeight="true" outlineLevel="0" collapsed="false">
      <c r="D146" s="4"/>
    </row>
    <row r="147" customFormat="false" ht="14.25" hidden="false" customHeight="true" outlineLevel="0" collapsed="false">
      <c r="D147" s="4"/>
    </row>
    <row r="148" customFormat="false" ht="14.25" hidden="false" customHeight="true" outlineLevel="0" collapsed="false">
      <c r="D148" s="4"/>
    </row>
    <row r="149" customFormat="false" ht="14.25" hidden="false" customHeight="true" outlineLevel="0" collapsed="false">
      <c r="D149" s="4"/>
    </row>
    <row r="150" customFormat="false" ht="14.25" hidden="false" customHeight="true" outlineLevel="0" collapsed="false">
      <c r="D150" s="4"/>
    </row>
    <row r="151" customFormat="false" ht="14.25" hidden="false" customHeight="true" outlineLevel="0" collapsed="false">
      <c r="D151" s="4"/>
    </row>
    <row r="152" customFormat="false" ht="14.25" hidden="false" customHeight="true" outlineLevel="0" collapsed="false">
      <c r="D152" s="4"/>
    </row>
    <row r="153" customFormat="false" ht="14.25" hidden="false" customHeight="true" outlineLevel="0" collapsed="false">
      <c r="D153" s="4"/>
    </row>
    <row r="154" customFormat="false" ht="14.25" hidden="false" customHeight="true" outlineLevel="0" collapsed="false">
      <c r="D154" s="4"/>
    </row>
    <row r="155" customFormat="false" ht="14.25" hidden="false" customHeight="true" outlineLevel="0" collapsed="false">
      <c r="D155" s="4"/>
    </row>
    <row r="156" customFormat="false" ht="14.25" hidden="false" customHeight="true" outlineLevel="0" collapsed="false">
      <c r="D156" s="4"/>
    </row>
    <row r="157" customFormat="false" ht="14.25" hidden="false" customHeight="true" outlineLevel="0" collapsed="false">
      <c r="D157" s="4"/>
    </row>
    <row r="158" customFormat="false" ht="14.25" hidden="false" customHeight="true" outlineLevel="0" collapsed="false">
      <c r="D158" s="4"/>
    </row>
    <row r="159" customFormat="false" ht="14.25" hidden="false" customHeight="true" outlineLevel="0" collapsed="false">
      <c r="D159" s="4"/>
    </row>
    <row r="160" customFormat="false" ht="14.25" hidden="false" customHeight="true" outlineLevel="0" collapsed="false">
      <c r="D160" s="4"/>
    </row>
    <row r="161" customFormat="false" ht="14.25" hidden="false" customHeight="true" outlineLevel="0" collapsed="false">
      <c r="D161" s="4"/>
    </row>
    <row r="162" customFormat="false" ht="14.25" hidden="false" customHeight="true" outlineLevel="0" collapsed="false">
      <c r="D162" s="4"/>
    </row>
    <row r="163" customFormat="false" ht="14.25" hidden="false" customHeight="true" outlineLevel="0" collapsed="false">
      <c r="D163" s="4"/>
    </row>
    <row r="164" customFormat="false" ht="14.25" hidden="false" customHeight="true" outlineLevel="0" collapsed="false">
      <c r="D164" s="4"/>
    </row>
    <row r="165" customFormat="false" ht="14.25" hidden="false" customHeight="true" outlineLevel="0" collapsed="false">
      <c r="D165" s="4"/>
    </row>
    <row r="166" customFormat="false" ht="14.25" hidden="false" customHeight="true" outlineLevel="0" collapsed="false">
      <c r="D166" s="4"/>
    </row>
    <row r="167" customFormat="false" ht="14.25" hidden="false" customHeight="true" outlineLevel="0" collapsed="false">
      <c r="D167" s="4"/>
    </row>
    <row r="168" customFormat="false" ht="14.25" hidden="false" customHeight="true" outlineLevel="0" collapsed="false">
      <c r="D168" s="4"/>
    </row>
    <row r="169" customFormat="false" ht="14.25" hidden="false" customHeight="true" outlineLevel="0" collapsed="false">
      <c r="D169" s="4"/>
    </row>
    <row r="170" customFormat="false" ht="14.25" hidden="false" customHeight="true" outlineLevel="0" collapsed="false">
      <c r="D170" s="4"/>
    </row>
    <row r="171" customFormat="false" ht="14.25" hidden="false" customHeight="true" outlineLevel="0" collapsed="false">
      <c r="D171" s="4"/>
    </row>
    <row r="172" customFormat="false" ht="14.25" hidden="false" customHeight="true" outlineLevel="0" collapsed="false">
      <c r="D172" s="4"/>
    </row>
    <row r="173" customFormat="false" ht="14.25" hidden="false" customHeight="true" outlineLevel="0" collapsed="false">
      <c r="D173" s="4"/>
    </row>
    <row r="174" customFormat="false" ht="14.25" hidden="false" customHeight="true" outlineLevel="0" collapsed="false">
      <c r="D174" s="4"/>
    </row>
    <row r="175" customFormat="false" ht="14.25" hidden="false" customHeight="true" outlineLevel="0" collapsed="false">
      <c r="D175" s="4"/>
    </row>
    <row r="176" customFormat="false" ht="14.25" hidden="false" customHeight="true" outlineLevel="0" collapsed="false">
      <c r="D176" s="4"/>
    </row>
    <row r="177" customFormat="false" ht="14.25" hidden="false" customHeight="true" outlineLevel="0" collapsed="false">
      <c r="D177" s="4"/>
    </row>
    <row r="178" customFormat="false" ht="14.25" hidden="false" customHeight="true" outlineLevel="0" collapsed="false">
      <c r="D178" s="4"/>
    </row>
    <row r="179" customFormat="false" ht="14.25" hidden="false" customHeight="true" outlineLevel="0" collapsed="false">
      <c r="D179" s="4"/>
    </row>
    <row r="180" customFormat="false" ht="14.25" hidden="false" customHeight="true" outlineLevel="0" collapsed="false">
      <c r="D180" s="4"/>
    </row>
    <row r="181" customFormat="false" ht="14.25" hidden="false" customHeight="true" outlineLevel="0" collapsed="false">
      <c r="D181" s="4"/>
    </row>
    <row r="182" customFormat="false" ht="14.25" hidden="false" customHeight="true" outlineLevel="0" collapsed="false">
      <c r="D182" s="4"/>
    </row>
    <row r="183" customFormat="false" ht="14.25" hidden="false" customHeight="true" outlineLevel="0" collapsed="false">
      <c r="D183" s="4"/>
    </row>
    <row r="184" customFormat="false" ht="14.25" hidden="false" customHeight="true" outlineLevel="0" collapsed="false">
      <c r="D184" s="4"/>
    </row>
    <row r="185" customFormat="false" ht="14.25" hidden="false" customHeight="true" outlineLevel="0" collapsed="false">
      <c r="D185" s="4"/>
    </row>
    <row r="186" customFormat="false" ht="14.25" hidden="false" customHeight="true" outlineLevel="0" collapsed="false">
      <c r="D186" s="4"/>
    </row>
    <row r="187" customFormat="false" ht="14.25" hidden="false" customHeight="true" outlineLevel="0" collapsed="false">
      <c r="D187" s="4"/>
    </row>
    <row r="188" customFormat="false" ht="14.25" hidden="false" customHeight="true" outlineLevel="0" collapsed="false">
      <c r="D188" s="4"/>
    </row>
    <row r="189" customFormat="false" ht="14.25" hidden="false" customHeight="true" outlineLevel="0" collapsed="false">
      <c r="D189" s="4"/>
    </row>
    <row r="190" customFormat="false" ht="14.25" hidden="false" customHeight="true" outlineLevel="0" collapsed="false">
      <c r="D190" s="4"/>
    </row>
    <row r="191" customFormat="false" ht="14.25" hidden="false" customHeight="true" outlineLevel="0" collapsed="false">
      <c r="D191" s="4"/>
    </row>
    <row r="192" customFormat="false" ht="14.25" hidden="false" customHeight="true" outlineLevel="0" collapsed="false">
      <c r="D192" s="4"/>
    </row>
    <row r="193" customFormat="false" ht="14.25" hidden="false" customHeight="true" outlineLevel="0" collapsed="false">
      <c r="D193" s="4"/>
    </row>
    <row r="194" customFormat="false" ht="14.25" hidden="false" customHeight="true" outlineLevel="0" collapsed="false">
      <c r="D194" s="4"/>
    </row>
    <row r="195" customFormat="false" ht="14.25" hidden="false" customHeight="true" outlineLevel="0" collapsed="false">
      <c r="D195" s="4"/>
    </row>
    <row r="196" customFormat="false" ht="14.25" hidden="false" customHeight="true" outlineLevel="0" collapsed="false">
      <c r="D196" s="4"/>
    </row>
    <row r="197" customFormat="false" ht="14.25" hidden="false" customHeight="true" outlineLevel="0" collapsed="false">
      <c r="D197" s="4"/>
    </row>
    <row r="198" customFormat="false" ht="14.25" hidden="false" customHeight="true" outlineLevel="0" collapsed="false">
      <c r="D198" s="4"/>
    </row>
    <row r="199" customFormat="false" ht="14.25" hidden="false" customHeight="true" outlineLevel="0" collapsed="false">
      <c r="D199" s="4"/>
    </row>
    <row r="200" customFormat="false" ht="14.25" hidden="false" customHeight="true" outlineLevel="0" collapsed="false">
      <c r="D200" s="4"/>
    </row>
    <row r="201" customFormat="false" ht="14.25" hidden="false" customHeight="true" outlineLevel="0" collapsed="false">
      <c r="D201" s="4"/>
    </row>
    <row r="202" customFormat="false" ht="14.25" hidden="false" customHeight="true" outlineLevel="0" collapsed="false">
      <c r="D202" s="4"/>
    </row>
    <row r="203" customFormat="false" ht="14.25" hidden="false" customHeight="true" outlineLevel="0" collapsed="false">
      <c r="D203" s="4"/>
    </row>
    <row r="204" customFormat="false" ht="14.25" hidden="false" customHeight="true" outlineLevel="0" collapsed="false">
      <c r="D204" s="4"/>
    </row>
    <row r="205" customFormat="false" ht="14.25" hidden="false" customHeight="true" outlineLevel="0" collapsed="false">
      <c r="D205" s="4"/>
    </row>
    <row r="206" customFormat="false" ht="14.25" hidden="false" customHeight="true" outlineLevel="0" collapsed="false">
      <c r="D206" s="4"/>
    </row>
    <row r="207" customFormat="false" ht="14.25" hidden="false" customHeight="true" outlineLevel="0" collapsed="false">
      <c r="D207" s="4"/>
    </row>
    <row r="208" customFormat="false" ht="14.25" hidden="false" customHeight="true" outlineLevel="0" collapsed="false">
      <c r="D208" s="4"/>
    </row>
    <row r="209" customFormat="false" ht="14.25" hidden="false" customHeight="true" outlineLevel="0" collapsed="false">
      <c r="D209" s="4"/>
    </row>
    <row r="210" customFormat="false" ht="14.25" hidden="false" customHeight="true" outlineLevel="0" collapsed="false">
      <c r="D210" s="4"/>
    </row>
    <row r="211" customFormat="false" ht="14.25" hidden="false" customHeight="true" outlineLevel="0" collapsed="false">
      <c r="D211" s="4"/>
    </row>
    <row r="212" customFormat="false" ht="14.25" hidden="false" customHeight="true" outlineLevel="0" collapsed="false">
      <c r="D212" s="4"/>
    </row>
    <row r="213" customFormat="false" ht="14.25" hidden="false" customHeight="true" outlineLevel="0" collapsed="false">
      <c r="D213" s="4"/>
    </row>
    <row r="214" customFormat="false" ht="14.25" hidden="false" customHeight="true" outlineLevel="0" collapsed="false">
      <c r="D214" s="4"/>
    </row>
    <row r="215" customFormat="false" ht="14.25" hidden="false" customHeight="true" outlineLevel="0" collapsed="false">
      <c r="D215" s="4"/>
    </row>
    <row r="216" customFormat="false" ht="14.25" hidden="false" customHeight="true" outlineLevel="0" collapsed="false">
      <c r="D216" s="4"/>
    </row>
    <row r="217" customFormat="false" ht="14.25" hidden="false" customHeight="true" outlineLevel="0" collapsed="false">
      <c r="D217" s="4"/>
    </row>
    <row r="218" customFormat="false" ht="14.25" hidden="false" customHeight="true" outlineLevel="0" collapsed="false">
      <c r="D218" s="4"/>
    </row>
    <row r="219" customFormat="false" ht="14.25" hidden="false" customHeight="true" outlineLevel="0" collapsed="false">
      <c r="D219" s="4"/>
    </row>
    <row r="220" customFormat="false" ht="14.25" hidden="false" customHeight="true" outlineLevel="0" collapsed="false">
      <c r="D220" s="4"/>
    </row>
    <row r="221" customFormat="false" ht="14.25" hidden="false" customHeight="true" outlineLevel="0" collapsed="false">
      <c r="D221" s="4"/>
    </row>
    <row r="222" customFormat="false" ht="14.25" hidden="false" customHeight="true" outlineLevel="0" collapsed="false">
      <c r="D222" s="4"/>
    </row>
    <row r="223" customFormat="false" ht="14.25" hidden="false" customHeight="true" outlineLevel="0" collapsed="false">
      <c r="D223" s="4"/>
    </row>
    <row r="224" customFormat="false" ht="14.25" hidden="false" customHeight="true" outlineLevel="0" collapsed="false">
      <c r="D224" s="4"/>
    </row>
    <row r="225" customFormat="false" ht="14.25" hidden="false" customHeight="true" outlineLevel="0" collapsed="false">
      <c r="D225" s="4"/>
    </row>
    <row r="226" customFormat="false" ht="14.25" hidden="false" customHeight="true" outlineLevel="0" collapsed="false">
      <c r="D226" s="4"/>
    </row>
    <row r="227" customFormat="false" ht="14.25" hidden="false" customHeight="true" outlineLevel="0" collapsed="false">
      <c r="D227" s="4"/>
    </row>
    <row r="228" customFormat="false" ht="14.25" hidden="false" customHeight="true" outlineLevel="0" collapsed="false">
      <c r="D228" s="4"/>
    </row>
    <row r="229" customFormat="false" ht="14.25" hidden="false" customHeight="true" outlineLevel="0" collapsed="false">
      <c r="D229" s="4"/>
    </row>
    <row r="230" customFormat="false" ht="14.25" hidden="false" customHeight="true" outlineLevel="0" collapsed="false">
      <c r="D230" s="4"/>
    </row>
    <row r="231" customFormat="false" ht="14.25" hidden="false" customHeight="true" outlineLevel="0" collapsed="false">
      <c r="D231" s="4"/>
    </row>
    <row r="232" customFormat="false" ht="14.25" hidden="false" customHeight="true" outlineLevel="0" collapsed="false">
      <c r="D232" s="4"/>
    </row>
    <row r="233" customFormat="false" ht="14.25" hidden="false" customHeight="true" outlineLevel="0" collapsed="false">
      <c r="D233" s="4"/>
    </row>
    <row r="234" customFormat="false" ht="14.25" hidden="false" customHeight="true" outlineLevel="0" collapsed="false">
      <c r="D234" s="4"/>
    </row>
    <row r="235" customFormat="false" ht="14.25" hidden="false" customHeight="true" outlineLevel="0" collapsed="false">
      <c r="D235" s="4"/>
    </row>
    <row r="236" customFormat="false" ht="14.25" hidden="false" customHeight="true" outlineLevel="0" collapsed="false">
      <c r="D236" s="4"/>
    </row>
    <row r="237" customFormat="false" ht="14.25" hidden="false" customHeight="true" outlineLevel="0" collapsed="false">
      <c r="D237" s="4"/>
    </row>
    <row r="238" customFormat="false" ht="14.25" hidden="false" customHeight="true" outlineLevel="0" collapsed="false">
      <c r="D238" s="4"/>
    </row>
    <row r="239" customFormat="false" ht="14.25" hidden="false" customHeight="true" outlineLevel="0" collapsed="false">
      <c r="D239" s="4"/>
    </row>
    <row r="240" customFormat="false" ht="14.25" hidden="false" customHeight="true" outlineLevel="0" collapsed="false">
      <c r="D240" s="4"/>
    </row>
    <row r="241" customFormat="false" ht="14.25" hidden="false" customHeight="true" outlineLevel="0" collapsed="false">
      <c r="D241" s="4"/>
    </row>
    <row r="242" customFormat="false" ht="14.25" hidden="false" customHeight="true" outlineLevel="0" collapsed="false">
      <c r="D242" s="4"/>
    </row>
    <row r="243" customFormat="false" ht="14.25" hidden="false" customHeight="true" outlineLevel="0" collapsed="false">
      <c r="D243" s="4"/>
    </row>
    <row r="244" customFormat="false" ht="14.25" hidden="false" customHeight="true" outlineLevel="0" collapsed="false">
      <c r="D244" s="4"/>
    </row>
    <row r="245" customFormat="false" ht="14.25" hidden="false" customHeight="true" outlineLevel="0" collapsed="false">
      <c r="D245" s="4"/>
    </row>
    <row r="246" customFormat="false" ht="14.25" hidden="false" customHeight="true" outlineLevel="0" collapsed="false">
      <c r="D246" s="4"/>
    </row>
    <row r="247" customFormat="false" ht="14.25" hidden="false" customHeight="true" outlineLevel="0" collapsed="false">
      <c r="D247" s="4"/>
    </row>
    <row r="248" customFormat="false" ht="14.25" hidden="false" customHeight="true" outlineLevel="0" collapsed="false">
      <c r="D248" s="4"/>
    </row>
    <row r="249" customFormat="false" ht="14.25" hidden="false" customHeight="true" outlineLevel="0" collapsed="false">
      <c r="D249" s="4"/>
    </row>
    <row r="250" customFormat="false" ht="14.25" hidden="false" customHeight="true" outlineLevel="0" collapsed="false">
      <c r="D250" s="4"/>
    </row>
    <row r="251" customFormat="false" ht="14.25" hidden="false" customHeight="true" outlineLevel="0" collapsed="false">
      <c r="D251" s="4"/>
    </row>
    <row r="252" customFormat="false" ht="14.25" hidden="false" customHeight="true" outlineLevel="0" collapsed="false">
      <c r="D252" s="4"/>
    </row>
    <row r="253" customFormat="false" ht="14.25" hidden="false" customHeight="true" outlineLevel="0" collapsed="false">
      <c r="D253" s="4"/>
    </row>
    <row r="254" customFormat="false" ht="14.25" hidden="false" customHeight="true" outlineLevel="0" collapsed="false">
      <c r="D254" s="4"/>
    </row>
    <row r="255" customFormat="false" ht="14.25" hidden="false" customHeight="true" outlineLevel="0" collapsed="false">
      <c r="D255" s="4"/>
    </row>
    <row r="256" customFormat="false" ht="14.25" hidden="false" customHeight="true" outlineLevel="0" collapsed="false">
      <c r="D256" s="4"/>
    </row>
    <row r="257" customFormat="false" ht="14.25" hidden="false" customHeight="true" outlineLevel="0" collapsed="false">
      <c r="D257" s="4"/>
    </row>
    <row r="258" customFormat="false" ht="14.25" hidden="false" customHeight="true" outlineLevel="0" collapsed="false">
      <c r="D258" s="4"/>
    </row>
    <row r="259" customFormat="false" ht="14.25" hidden="false" customHeight="true" outlineLevel="0" collapsed="false">
      <c r="D259" s="4"/>
    </row>
    <row r="260" customFormat="false" ht="14.25" hidden="false" customHeight="true" outlineLevel="0" collapsed="false">
      <c r="D260" s="4"/>
    </row>
    <row r="261" customFormat="false" ht="14.25" hidden="false" customHeight="true" outlineLevel="0" collapsed="false">
      <c r="D261" s="4"/>
    </row>
    <row r="262" customFormat="false" ht="14.25" hidden="false" customHeight="true" outlineLevel="0" collapsed="false">
      <c r="D262" s="4"/>
    </row>
    <row r="263" customFormat="false" ht="14.25" hidden="false" customHeight="true" outlineLevel="0" collapsed="false">
      <c r="D263" s="4"/>
    </row>
    <row r="264" customFormat="false" ht="14.25" hidden="false" customHeight="true" outlineLevel="0" collapsed="false">
      <c r="D264" s="4"/>
    </row>
    <row r="265" customFormat="false" ht="14.25" hidden="false" customHeight="true" outlineLevel="0" collapsed="false">
      <c r="D265" s="4"/>
    </row>
    <row r="266" customFormat="false" ht="14.25" hidden="false" customHeight="true" outlineLevel="0" collapsed="false">
      <c r="D266" s="4"/>
    </row>
    <row r="267" customFormat="false" ht="14.25" hidden="false" customHeight="true" outlineLevel="0" collapsed="false">
      <c r="D267" s="4"/>
    </row>
    <row r="268" customFormat="false" ht="14.25" hidden="false" customHeight="true" outlineLevel="0" collapsed="false">
      <c r="D268" s="4"/>
    </row>
    <row r="269" customFormat="false" ht="14.25" hidden="false" customHeight="true" outlineLevel="0" collapsed="false">
      <c r="D269" s="4"/>
    </row>
    <row r="270" customFormat="false" ht="14.25" hidden="false" customHeight="true" outlineLevel="0" collapsed="false">
      <c r="D270" s="4"/>
    </row>
    <row r="271" customFormat="false" ht="14.25" hidden="false" customHeight="true" outlineLevel="0" collapsed="false">
      <c r="D271" s="4"/>
    </row>
    <row r="272" customFormat="false" ht="14.25" hidden="false" customHeight="true" outlineLevel="0" collapsed="false">
      <c r="D272" s="4"/>
    </row>
    <row r="273" customFormat="false" ht="14.25" hidden="false" customHeight="true" outlineLevel="0" collapsed="false">
      <c r="D273" s="4"/>
    </row>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0.13"/>
    <col collapsed="false" customWidth="true" hidden="false" outlineLevel="0" max="4" min="2" style="0" width="15.87"/>
    <col collapsed="false" customWidth="true" hidden="false" outlineLevel="0" max="5" min="5" style="0" width="9.86"/>
    <col collapsed="false" customWidth="true" hidden="false" outlineLevel="0" max="6" min="6" style="0" width="15.87"/>
    <col collapsed="false" customWidth="true" hidden="false" outlineLevel="0" max="7" min="7" style="0" width="9.29"/>
    <col collapsed="false" customWidth="true" hidden="false" outlineLevel="0" max="11" min="8" style="0" width="15.87"/>
    <col collapsed="false" customWidth="true" hidden="false" outlineLevel="0" max="12" min="12" style="0" width="8.14"/>
    <col collapsed="false" customWidth="true" hidden="false" outlineLevel="0" max="13" min="13" style="0" width="15.87"/>
    <col collapsed="false" customWidth="true" hidden="false" outlineLevel="0" max="14" min="14" style="0" width="14.01"/>
    <col collapsed="false" customWidth="true" hidden="false" outlineLevel="0" max="26" min="15" style="0" width="15.87"/>
  </cols>
  <sheetData>
    <row r="1" customFormat="false" ht="15" hidden="false" customHeight="false" outlineLevel="0" collapsed="false">
      <c r="A1" s="27" t="s">
        <v>1243</v>
      </c>
      <c r="B1" s="27" t="s">
        <v>1244</v>
      </c>
      <c r="C1" s="27" t="s">
        <v>1245</v>
      </c>
      <c r="D1" s="27" t="s">
        <v>1246</v>
      </c>
      <c r="E1" s="28" t="s">
        <v>1614</v>
      </c>
      <c r="F1" s="27" t="s">
        <v>1589</v>
      </c>
      <c r="G1" s="27" t="s">
        <v>1615</v>
      </c>
      <c r="H1" s="27" t="s">
        <v>1537</v>
      </c>
      <c r="I1" s="27" t="s">
        <v>1616</v>
      </c>
      <c r="J1" s="27" t="s">
        <v>1617</v>
      </c>
      <c r="K1" s="27" t="s">
        <v>1618</v>
      </c>
      <c r="L1" s="27" t="s">
        <v>1619</v>
      </c>
      <c r="M1" s="27" t="s">
        <v>1620</v>
      </c>
      <c r="N1" s="27" t="s">
        <v>1249</v>
      </c>
      <c r="O1" s="27" t="s">
        <v>1621</v>
      </c>
      <c r="P1" s="4"/>
      <c r="Q1" s="4"/>
      <c r="R1" s="4"/>
      <c r="S1" s="4"/>
      <c r="T1" s="4"/>
      <c r="U1" s="4"/>
      <c r="V1" s="4"/>
      <c r="W1" s="4"/>
      <c r="X1" s="4"/>
      <c r="Y1" s="4"/>
      <c r="Z1" s="4"/>
    </row>
    <row r="2" customFormat="false" ht="15" hidden="false" customHeight="false" outlineLevel="0" collapsed="false">
      <c r="A2" s="4" t="s">
        <v>1259</v>
      </c>
      <c r="B2" s="4" t="s">
        <v>1260</v>
      </c>
      <c r="C2" s="4" t="n">
        <v>221025</v>
      </c>
      <c r="D2" s="4" t="s">
        <v>1622</v>
      </c>
      <c r="E2" s="29"/>
      <c r="F2" s="30" t="n">
        <v>44979</v>
      </c>
      <c r="G2" s="4"/>
      <c r="H2" s="30" t="n">
        <v>44984</v>
      </c>
      <c r="I2" s="4"/>
      <c r="J2" s="4" t="n">
        <v>3</v>
      </c>
      <c r="K2" s="4" t="n">
        <v>3</v>
      </c>
      <c r="L2" s="4"/>
      <c r="M2" s="4"/>
      <c r="N2" s="4" t="s">
        <v>1623</v>
      </c>
      <c r="O2" s="4"/>
      <c r="P2" s="4"/>
      <c r="Q2" s="4"/>
      <c r="R2" s="4"/>
      <c r="S2" s="4"/>
      <c r="T2" s="4"/>
      <c r="U2" s="4"/>
      <c r="V2" s="4"/>
      <c r="W2" s="4"/>
      <c r="X2" s="4"/>
      <c r="Y2" s="4"/>
      <c r="Z2" s="4"/>
    </row>
    <row r="3" customFormat="false" ht="15" hidden="false" customHeight="false" outlineLevel="0" collapsed="false">
      <c r="A3" s="4" t="s">
        <v>1259</v>
      </c>
      <c r="B3" s="4" t="s">
        <v>1260</v>
      </c>
      <c r="C3" s="4" t="n">
        <v>221025</v>
      </c>
      <c r="D3" s="4" t="s">
        <v>1622</v>
      </c>
      <c r="E3" s="29"/>
      <c r="F3" s="30" t="n">
        <v>44985</v>
      </c>
      <c r="G3" s="4"/>
      <c r="H3" s="30" t="n">
        <v>44991</v>
      </c>
      <c r="I3" s="4"/>
      <c r="J3" s="4" t="n">
        <v>0</v>
      </c>
      <c r="K3" s="4" t="n">
        <v>3</v>
      </c>
      <c r="L3" s="4"/>
      <c r="M3" s="4" t="s">
        <v>1624</v>
      </c>
      <c r="N3" s="4" t="s">
        <v>1623</v>
      </c>
      <c r="O3" s="4"/>
      <c r="P3" s="4"/>
      <c r="Q3" s="4"/>
      <c r="R3" s="4"/>
      <c r="S3" s="4"/>
      <c r="T3" s="4"/>
      <c r="U3" s="4"/>
      <c r="V3" s="4"/>
      <c r="W3" s="4"/>
      <c r="X3" s="4"/>
      <c r="Y3" s="4"/>
      <c r="Z3" s="4"/>
    </row>
    <row r="4" customFormat="false" ht="15" hidden="false" customHeight="false" outlineLevel="0" collapsed="false">
      <c r="A4" s="4" t="s">
        <v>1259</v>
      </c>
      <c r="B4" s="4" t="s">
        <v>1260</v>
      </c>
      <c r="C4" s="4" t="n">
        <v>221025</v>
      </c>
      <c r="D4" s="4" t="s">
        <v>1622</v>
      </c>
      <c r="E4" s="29"/>
      <c r="F4" s="30" t="n">
        <v>44992</v>
      </c>
      <c r="G4" s="4"/>
      <c r="H4" s="30" t="n">
        <v>45005</v>
      </c>
      <c r="I4" s="4"/>
      <c r="J4" s="4" t="n">
        <v>2</v>
      </c>
      <c r="K4" s="4" t="n">
        <v>2</v>
      </c>
      <c r="L4" s="4"/>
      <c r="M4" s="4" t="s">
        <v>1625</v>
      </c>
      <c r="N4" s="4" t="s">
        <v>1623</v>
      </c>
      <c r="O4" s="4"/>
      <c r="P4" s="4"/>
      <c r="Q4" s="4"/>
      <c r="R4" s="4"/>
      <c r="S4" s="4"/>
      <c r="T4" s="4"/>
      <c r="U4" s="4"/>
      <c r="V4" s="4"/>
      <c r="W4" s="4"/>
      <c r="X4" s="4"/>
      <c r="Y4" s="4"/>
      <c r="Z4" s="4"/>
    </row>
    <row r="5" customFormat="false" ht="15" hidden="false" customHeight="false" outlineLevel="0" collapsed="false">
      <c r="A5" s="4" t="s">
        <v>1259</v>
      </c>
      <c r="B5" s="4" t="s">
        <v>1260</v>
      </c>
      <c r="C5" s="4" t="n">
        <v>221025</v>
      </c>
      <c r="D5" s="4" t="s">
        <v>1622</v>
      </c>
      <c r="E5" s="29"/>
      <c r="F5" s="30" t="n">
        <v>45006</v>
      </c>
      <c r="G5" s="4"/>
      <c r="H5" s="30" t="n">
        <v>45033</v>
      </c>
      <c r="I5" s="4"/>
      <c r="J5" s="4" t="n">
        <v>3</v>
      </c>
      <c r="K5" s="4" t="n">
        <v>3</v>
      </c>
      <c r="L5" s="4"/>
      <c r="M5" s="4"/>
      <c r="N5" s="4" t="s">
        <v>1623</v>
      </c>
      <c r="O5" s="4"/>
      <c r="P5" s="4"/>
      <c r="Q5" s="4"/>
      <c r="R5" s="4"/>
      <c r="S5" s="4"/>
      <c r="T5" s="4"/>
      <c r="U5" s="4"/>
      <c r="V5" s="4"/>
      <c r="W5" s="4"/>
      <c r="X5" s="4"/>
      <c r="Y5" s="4"/>
      <c r="Z5" s="4"/>
    </row>
    <row r="6" customFormat="false" ht="15" hidden="false" customHeight="false" outlineLevel="0" collapsed="false">
      <c r="A6" s="4" t="s">
        <v>1259</v>
      </c>
      <c r="B6" s="4" t="s">
        <v>1260</v>
      </c>
      <c r="C6" s="4" t="n">
        <v>221025</v>
      </c>
      <c r="D6" s="4" t="s">
        <v>1622</v>
      </c>
      <c r="E6" s="29"/>
      <c r="F6" s="30" t="n">
        <v>45034</v>
      </c>
      <c r="G6" s="4"/>
      <c r="H6" s="30" t="n">
        <v>45061</v>
      </c>
      <c r="I6" s="4"/>
      <c r="J6" s="4" t="n">
        <v>3</v>
      </c>
      <c r="K6" s="4" t="n">
        <v>3</v>
      </c>
      <c r="L6" s="4"/>
      <c r="M6" s="4"/>
      <c r="N6" s="4" t="s">
        <v>1623</v>
      </c>
      <c r="O6" s="4"/>
      <c r="P6" s="4"/>
      <c r="Q6" s="4"/>
      <c r="R6" s="4"/>
      <c r="S6" s="4"/>
      <c r="T6" s="4"/>
      <c r="U6" s="4"/>
      <c r="V6" s="4"/>
      <c r="W6" s="4"/>
      <c r="X6" s="4"/>
      <c r="Y6" s="4"/>
      <c r="Z6" s="4"/>
    </row>
    <row r="7" customFormat="false" ht="15" hidden="false" customHeight="false" outlineLevel="0" collapsed="false">
      <c r="A7" s="4"/>
      <c r="B7" s="4"/>
      <c r="C7" s="4"/>
      <c r="D7" s="4"/>
      <c r="E7" s="31"/>
      <c r="F7" s="4"/>
      <c r="G7" s="4"/>
      <c r="H7" s="4"/>
      <c r="I7" s="4"/>
      <c r="J7" s="4"/>
      <c r="K7" s="4"/>
      <c r="L7" s="4"/>
      <c r="M7" s="4"/>
      <c r="N7" s="4"/>
      <c r="O7" s="4"/>
      <c r="P7" s="4"/>
      <c r="Q7" s="4"/>
      <c r="R7" s="4"/>
      <c r="S7" s="4"/>
      <c r="T7" s="4"/>
      <c r="U7" s="4"/>
      <c r="V7" s="4"/>
      <c r="W7" s="4"/>
      <c r="X7" s="4"/>
      <c r="Y7" s="4"/>
      <c r="Z7" s="4"/>
    </row>
    <row r="8" customFormat="false" ht="15" hidden="false" customHeight="false" outlineLevel="0" collapsed="false">
      <c r="A8" s="4"/>
      <c r="B8" s="4"/>
      <c r="C8" s="4"/>
      <c r="D8" s="4"/>
      <c r="E8" s="31"/>
      <c r="F8" s="4"/>
      <c r="G8" s="4"/>
      <c r="H8" s="4"/>
      <c r="I8" s="4"/>
      <c r="J8" s="4"/>
      <c r="K8" s="4"/>
      <c r="L8" s="4"/>
      <c r="M8" s="4"/>
      <c r="N8" s="4"/>
      <c r="O8" s="4"/>
      <c r="P8" s="4"/>
      <c r="Q8" s="4"/>
      <c r="R8" s="4"/>
      <c r="S8" s="4"/>
      <c r="T8" s="4"/>
      <c r="U8" s="4"/>
      <c r="V8" s="4"/>
      <c r="W8" s="4"/>
      <c r="X8" s="4"/>
      <c r="Y8" s="4"/>
      <c r="Z8" s="4"/>
    </row>
    <row r="9" customFormat="false" ht="15" hidden="false" customHeight="false" outlineLevel="0" collapsed="false">
      <c r="A9" s="4"/>
      <c r="B9" s="4"/>
      <c r="C9" s="4"/>
      <c r="D9" s="4"/>
      <c r="E9" s="31"/>
      <c r="F9" s="4"/>
      <c r="G9" s="4"/>
      <c r="H9" s="4"/>
      <c r="I9" s="4"/>
      <c r="J9" s="4"/>
      <c r="K9" s="4"/>
      <c r="L9" s="4"/>
      <c r="M9" s="4"/>
      <c r="N9" s="4"/>
      <c r="O9" s="4"/>
      <c r="P9" s="4"/>
      <c r="Q9" s="4"/>
      <c r="R9" s="4"/>
      <c r="S9" s="4"/>
      <c r="T9" s="4"/>
      <c r="U9" s="4"/>
      <c r="V9" s="4"/>
      <c r="W9" s="4"/>
      <c r="X9" s="4"/>
      <c r="Y9" s="4"/>
      <c r="Z9" s="4"/>
    </row>
    <row r="10" customFormat="false" ht="15" hidden="false" customHeight="false" outlineLevel="0" collapsed="false">
      <c r="A10" s="4"/>
      <c r="B10" s="4"/>
      <c r="C10" s="4"/>
      <c r="D10" s="4"/>
      <c r="E10" s="31"/>
      <c r="F10" s="4"/>
      <c r="G10" s="4"/>
      <c r="H10" s="4"/>
      <c r="I10" s="4"/>
      <c r="J10" s="4"/>
      <c r="K10" s="4"/>
      <c r="L10" s="4"/>
      <c r="M10" s="4"/>
      <c r="N10" s="4"/>
      <c r="O10" s="4"/>
      <c r="P10" s="4"/>
      <c r="Q10" s="4"/>
      <c r="R10" s="4"/>
      <c r="S10" s="4"/>
      <c r="T10" s="4"/>
      <c r="U10" s="4"/>
      <c r="V10" s="4"/>
      <c r="W10" s="4"/>
      <c r="X10" s="4"/>
      <c r="Y10" s="4"/>
      <c r="Z10" s="4"/>
    </row>
    <row r="11" customFormat="false" ht="15" hidden="false" customHeight="false" outlineLevel="0" collapsed="false">
      <c r="A11" s="4"/>
      <c r="B11" s="4"/>
      <c r="C11" s="4"/>
      <c r="D11" s="4"/>
      <c r="E11" s="31"/>
      <c r="F11" s="4"/>
      <c r="G11" s="4"/>
      <c r="H11" s="4"/>
      <c r="I11" s="4"/>
      <c r="J11" s="4"/>
      <c r="K11" s="4"/>
      <c r="L11" s="4"/>
      <c r="M11" s="4"/>
      <c r="N11" s="4"/>
      <c r="O11" s="4"/>
      <c r="P11" s="4"/>
      <c r="Q11" s="4"/>
      <c r="R11" s="4"/>
      <c r="S11" s="4"/>
      <c r="T11" s="4"/>
      <c r="U11" s="4"/>
      <c r="V11" s="4"/>
      <c r="W11" s="4"/>
      <c r="X11" s="4"/>
      <c r="Y11" s="4"/>
      <c r="Z11" s="4"/>
    </row>
    <row r="12" customFormat="false" ht="15" hidden="false" customHeight="false" outlineLevel="0" collapsed="false">
      <c r="A12" s="4"/>
      <c r="B12" s="4"/>
      <c r="C12" s="4"/>
      <c r="D12" s="4"/>
      <c r="E12" s="31"/>
      <c r="F12" s="4"/>
      <c r="G12" s="4"/>
      <c r="H12" s="4"/>
      <c r="I12" s="4"/>
      <c r="J12" s="4"/>
      <c r="K12" s="4"/>
      <c r="L12" s="4"/>
      <c r="M12" s="4"/>
      <c r="N12" s="4"/>
      <c r="O12" s="4"/>
      <c r="P12" s="4"/>
      <c r="Q12" s="4"/>
      <c r="R12" s="4"/>
      <c r="S12" s="4"/>
      <c r="T12" s="4"/>
      <c r="U12" s="4"/>
      <c r="V12" s="4"/>
      <c r="W12" s="4"/>
      <c r="X12" s="4"/>
      <c r="Y12" s="4"/>
      <c r="Z12" s="4"/>
    </row>
    <row r="13" customFormat="false" ht="15" hidden="false" customHeight="false" outlineLevel="0" collapsed="false">
      <c r="A13" s="4"/>
      <c r="B13" s="4"/>
      <c r="C13" s="4"/>
      <c r="D13" s="4"/>
      <c r="E13" s="31"/>
      <c r="F13" s="4"/>
      <c r="G13" s="4"/>
      <c r="H13" s="4"/>
      <c r="I13" s="4"/>
      <c r="J13" s="4"/>
      <c r="K13" s="4"/>
      <c r="L13" s="4"/>
      <c r="M13" s="4"/>
      <c r="N13" s="4"/>
      <c r="O13" s="4"/>
      <c r="P13" s="4"/>
      <c r="Q13" s="4"/>
      <c r="R13" s="4"/>
      <c r="S13" s="4"/>
      <c r="T13" s="4"/>
      <c r="U13" s="4"/>
      <c r="V13" s="4"/>
      <c r="W13" s="4"/>
      <c r="X13" s="4"/>
      <c r="Y13" s="4"/>
      <c r="Z13" s="4"/>
    </row>
    <row r="14" customFormat="false" ht="15" hidden="false" customHeight="false" outlineLevel="0" collapsed="false">
      <c r="A14" s="4"/>
      <c r="B14" s="4"/>
      <c r="C14" s="4"/>
      <c r="D14" s="4"/>
      <c r="E14" s="31"/>
      <c r="F14" s="4"/>
      <c r="G14" s="4"/>
      <c r="H14" s="4"/>
      <c r="I14" s="4"/>
      <c r="J14" s="4"/>
      <c r="K14" s="4"/>
      <c r="L14" s="4"/>
      <c r="M14" s="4"/>
      <c r="N14" s="4"/>
      <c r="O14" s="4"/>
      <c r="P14" s="4"/>
      <c r="Q14" s="4"/>
      <c r="R14" s="4"/>
      <c r="S14" s="4"/>
      <c r="T14" s="4"/>
      <c r="U14" s="4"/>
      <c r="V14" s="4"/>
      <c r="W14" s="4"/>
      <c r="X14" s="4"/>
      <c r="Y14" s="4"/>
      <c r="Z14" s="4"/>
    </row>
    <row r="15" customFormat="false" ht="15" hidden="false" customHeight="false" outlineLevel="0" collapsed="false">
      <c r="A15" s="4"/>
      <c r="B15" s="4"/>
      <c r="C15" s="4"/>
      <c r="D15" s="4"/>
      <c r="E15" s="31"/>
      <c r="F15" s="4"/>
      <c r="G15" s="4"/>
      <c r="H15" s="4"/>
      <c r="I15" s="4"/>
      <c r="J15" s="4"/>
      <c r="K15" s="4"/>
      <c r="L15" s="4"/>
      <c r="M15" s="4"/>
      <c r="N15" s="4"/>
      <c r="O15" s="4"/>
      <c r="P15" s="4"/>
      <c r="Q15" s="4"/>
      <c r="R15" s="4"/>
      <c r="S15" s="4"/>
      <c r="T15" s="4"/>
      <c r="U15" s="4"/>
      <c r="V15" s="4"/>
      <c r="W15" s="4"/>
      <c r="X15" s="4"/>
      <c r="Y15" s="4"/>
      <c r="Z15" s="4"/>
    </row>
    <row r="16" customFormat="false" ht="15" hidden="false" customHeight="false" outlineLevel="0" collapsed="false">
      <c r="A16" s="4"/>
      <c r="B16" s="4"/>
      <c r="C16" s="4"/>
      <c r="D16" s="4"/>
      <c r="E16" s="31"/>
      <c r="F16" s="4"/>
      <c r="G16" s="4"/>
      <c r="H16" s="4"/>
      <c r="I16" s="4"/>
      <c r="J16" s="4"/>
      <c r="K16" s="4"/>
      <c r="L16" s="4"/>
      <c r="M16" s="4"/>
      <c r="N16" s="4"/>
      <c r="O16" s="4"/>
      <c r="P16" s="4"/>
      <c r="Q16" s="4"/>
      <c r="R16" s="4"/>
      <c r="S16" s="4"/>
      <c r="T16" s="4"/>
      <c r="U16" s="4"/>
      <c r="V16" s="4"/>
      <c r="W16" s="4"/>
      <c r="X16" s="4"/>
      <c r="Y16" s="4"/>
      <c r="Z16" s="4"/>
    </row>
    <row r="17" customFormat="false" ht="15" hidden="false" customHeight="false" outlineLevel="0" collapsed="false">
      <c r="A17" s="4"/>
      <c r="B17" s="4"/>
      <c r="C17" s="4"/>
      <c r="D17" s="4"/>
      <c r="E17" s="31"/>
      <c r="F17" s="4"/>
      <c r="G17" s="4"/>
      <c r="H17" s="4"/>
      <c r="I17" s="4"/>
      <c r="J17" s="4"/>
      <c r="K17" s="4"/>
      <c r="L17" s="4"/>
      <c r="M17" s="4"/>
      <c r="N17" s="4"/>
      <c r="O17" s="4"/>
      <c r="P17" s="4"/>
      <c r="Q17" s="4"/>
      <c r="R17" s="4"/>
      <c r="S17" s="4"/>
      <c r="T17" s="4"/>
      <c r="U17" s="4"/>
      <c r="V17" s="4"/>
      <c r="W17" s="4"/>
      <c r="X17" s="4"/>
      <c r="Y17" s="4"/>
      <c r="Z17" s="4"/>
    </row>
    <row r="18" customFormat="false" ht="15" hidden="false" customHeight="false" outlineLevel="0" collapsed="false">
      <c r="A18" s="4"/>
      <c r="B18" s="4"/>
      <c r="C18" s="4"/>
      <c r="D18" s="4"/>
      <c r="E18" s="31"/>
      <c r="F18" s="4"/>
      <c r="G18" s="4"/>
      <c r="H18" s="4"/>
      <c r="I18" s="4"/>
      <c r="J18" s="4"/>
      <c r="K18" s="4"/>
      <c r="L18" s="4"/>
      <c r="M18" s="4"/>
      <c r="N18" s="4"/>
      <c r="O18" s="4"/>
      <c r="P18" s="4"/>
      <c r="Q18" s="4"/>
      <c r="R18" s="4"/>
      <c r="S18" s="4"/>
      <c r="T18" s="4"/>
      <c r="U18" s="4"/>
      <c r="V18" s="4"/>
      <c r="W18" s="4"/>
      <c r="X18" s="4"/>
      <c r="Y18" s="4"/>
      <c r="Z18" s="4"/>
    </row>
    <row r="19" customFormat="false" ht="15" hidden="false" customHeight="false" outlineLevel="0" collapsed="false">
      <c r="A19" s="4"/>
      <c r="B19" s="4"/>
      <c r="C19" s="4"/>
      <c r="D19" s="4"/>
      <c r="E19" s="31"/>
      <c r="F19" s="4"/>
      <c r="G19" s="4"/>
      <c r="H19" s="4"/>
      <c r="I19" s="4"/>
      <c r="J19" s="4"/>
      <c r="K19" s="4"/>
      <c r="L19" s="4"/>
      <c r="M19" s="4"/>
      <c r="N19" s="4"/>
      <c r="O19" s="4"/>
      <c r="P19" s="4"/>
      <c r="Q19" s="4"/>
      <c r="R19" s="4"/>
      <c r="S19" s="4"/>
      <c r="T19" s="4"/>
      <c r="U19" s="4"/>
      <c r="V19" s="4"/>
      <c r="W19" s="4"/>
      <c r="X19" s="4"/>
      <c r="Y19" s="4"/>
      <c r="Z19" s="4"/>
    </row>
    <row r="20" customFormat="false" ht="15" hidden="false" customHeight="false" outlineLevel="0" collapsed="false">
      <c r="A20" s="4"/>
      <c r="B20" s="4"/>
      <c r="C20" s="4"/>
      <c r="D20" s="4"/>
      <c r="E20" s="31"/>
      <c r="F20" s="4"/>
      <c r="G20" s="4"/>
      <c r="H20" s="4"/>
      <c r="I20" s="4"/>
      <c r="J20" s="4"/>
      <c r="K20" s="4"/>
      <c r="L20" s="4"/>
      <c r="M20" s="4"/>
      <c r="N20" s="4"/>
      <c r="O20" s="4"/>
      <c r="P20" s="4"/>
      <c r="Q20" s="4"/>
      <c r="R20" s="4"/>
      <c r="S20" s="4"/>
      <c r="T20" s="4"/>
      <c r="U20" s="4"/>
      <c r="V20" s="4"/>
      <c r="W20" s="4"/>
      <c r="X20" s="4"/>
      <c r="Y20" s="4"/>
      <c r="Z20" s="4"/>
    </row>
    <row r="21" customFormat="false" ht="15.75" hidden="false" customHeight="true" outlineLevel="0" collapsed="false">
      <c r="A21" s="4"/>
      <c r="B21" s="4"/>
      <c r="C21" s="4"/>
      <c r="D21" s="4"/>
      <c r="E21" s="31"/>
      <c r="F21" s="4"/>
      <c r="G21" s="4"/>
      <c r="H21" s="4"/>
      <c r="I21" s="4"/>
      <c r="J21" s="4"/>
      <c r="K21" s="4"/>
      <c r="L21" s="4"/>
      <c r="M21" s="4"/>
      <c r="N21" s="4"/>
      <c r="O21" s="4"/>
      <c r="P21" s="4"/>
      <c r="Q21" s="4"/>
      <c r="R21" s="4"/>
      <c r="S21" s="4"/>
      <c r="T21" s="4"/>
      <c r="U21" s="4"/>
      <c r="V21" s="4"/>
      <c r="W21" s="4"/>
      <c r="X21" s="4"/>
      <c r="Y21" s="4"/>
      <c r="Z21" s="4"/>
    </row>
    <row r="22" customFormat="false" ht="15.75" hidden="false" customHeight="true" outlineLevel="0" collapsed="false">
      <c r="A22" s="4"/>
      <c r="B22" s="4"/>
      <c r="C22" s="4"/>
      <c r="D22" s="4"/>
      <c r="E22" s="31"/>
      <c r="F22" s="4"/>
      <c r="G22" s="4"/>
      <c r="H22" s="4"/>
      <c r="I22" s="4"/>
      <c r="J22" s="4"/>
      <c r="K22" s="4"/>
      <c r="L22" s="4"/>
      <c r="M22" s="4"/>
      <c r="N22" s="4"/>
      <c r="O22" s="4"/>
      <c r="P22" s="4"/>
      <c r="Q22" s="4"/>
      <c r="R22" s="4"/>
      <c r="S22" s="4"/>
      <c r="T22" s="4"/>
      <c r="U22" s="4"/>
      <c r="V22" s="4"/>
      <c r="W22" s="4"/>
      <c r="X22" s="4"/>
      <c r="Y22" s="4"/>
      <c r="Z22" s="4"/>
    </row>
    <row r="23" customFormat="false" ht="15.75" hidden="false" customHeight="true" outlineLevel="0" collapsed="false">
      <c r="A23" s="4"/>
      <c r="B23" s="4"/>
      <c r="C23" s="4"/>
      <c r="D23" s="4"/>
      <c r="E23" s="31"/>
      <c r="F23" s="4"/>
      <c r="G23" s="4"/>
      <c r="H23" s="4"/>
      <c r="I23" s="4"/>
      <c r="J23" s="4"/>
      <c r="K23" s="4"/>
      <c r="L23" s="4"/>
      <c r="M23" s="4"/>
      <c r="N23" s="4"/>
      <c r="O23" s="4"/>
      <c r="P23" s="4"/>
      <c r="Q23" s="4"/>
      <c r="R23" s="4"/>
      <c r="S23" s="4"/>
      <c r="T23" s="4"/>
      <c r="U23" s="4"/>
      <c r="V23" s="4"/>
      <c r="W23" s="4"/>
      <c r="X23" s="4"/>
      <c r="Y23" s="4"/>
      <c r="Z23" s="4"/>
    </row>
    <row r="24" customFormat="false" ht="15.75" hidden="false" customHeight="true" outlineLevel="0" collapsed="false">
      <c r="A24" s="4"/>
      <c r="B24" s="4"/>
      <c r="C24" s="4"/>
      <c r="D24" s="4"/>
      <c r="E24" s="31"/>
      <c r="F24" s="4"/>
      <c r="G24" s="4"/>
      <c r="H24" s="4"/>
      <c r="I24" s="4"/>
      <c r="J24" s="4"/>
      <c r="K24" s="4"/>
      <c r="L24" s="4"/>
      <c r="M24" s="4"/>
      <c r="N24" s="4"/>
      <c r="O24" s="4"/>
      <c r="P24" s="4"/>
      <c r="Q24" s="4"/>
      <c r="R24" s="4"/>
      <c r="S24" s="4"/>
      <c r="T24" s="4"/>
      <c r="U24" s="4"/>
      <c r="V24" s="4"/>
      <c r="W24" s="4"/>
      <c r="X24" s="4"/>
      <c r="Y24" s="4"/>
      <c r="Z24" s="4"/>
    </row>
    <row r="25" customFormat="false" ht="15.75" hidden="false" customHeight="true" outlineLevel="0" collapsed="false">
      <c r="A25" s="4"/>
      <c r="B25" s="4"/>
      <c r="C25" s="4"/>
      <c r="D25" s="4"/>
      <c r="E25" s="31"/>
      <c r="F25" s="4"/>
      <c r="G25" s="4"/>
      <c r="H25" s="4"/>
      <c r="I25" s="4"/>
      <c r="J25" s="4"/>
      <c r="K25" s="4"/>
      <c r="L25" s="4"/>
      <c r="M25" s="4"/>
      <c r="N25" s="4"/>
      <c r="O25" s="4"/>
      <c r="P25" s="4"/>
      <c r="Q25" s="4"/>
      <c r="R25" s="4"/>
      <c r="S25" s="4"/>
      <c r="T25" s="4"/>
      <c r="U25" s="4"/>
      <c r="V25" s="4"/>
      <c r="W25" s="4"/>
      <c r="X25" s="4"/>
      <c r="Y25" s="4"/>
      <c r="Z25" s="4"/>
    </row>
    <row r="26" customFormat="false" ht="15.75" hidden="false" customHeight="true" outlineLevel="0" collapsed="false">
      <c r="A26" s="4"/>
      <c r="B26" s="4"/>
      <c r="C26" s="4"/>
      <c r="D26" s="4"/>
      <c r="E26" s="31"/>
      <c r="F26" s="4"/>
      <c r="G26" s="4"/>
      <c r="H26" s="4"/>
      <c r="I26" s="4"/>
      <c r="J26" s="4"/>
      <c r="K26" s="4"/>
      <c r="L26" s="4"/>
      <c r="M26" s="4"/>
      <c r="N26" s="4"/>
      <c r="O26" s="4"/>
      <c r="P26" s="4"/>
      <c r="Q26" s="4"/>
      <c r="R26" s="4"/>
      <c r="S26" s="4"/>
      <c r="T26" s="4"/>
      <c r="U26" s="4"/>
      <c r="V26" s="4"/>
      <c r="W26" s="4"/>
      <c r="X26" s="4"/>
      <c r="Y26" s="4"/>
      <c r="Z26" s="4"/>
    </row>
    <row r="27" customFormat="false" ht="15.75" hidden="false" customHeight="true" outlineLevel="0" collapsed="false">
      <c r="A27" s="4"/>
      <c r="B27" s="4"/>
      <c r="C27" s="4"/>
      <c r="D27" s="4"/>
      <c r="E27" s="31"/>
      <c r="F27" s="4"/>
      <c r="G27" s="4"/>
      <c r="H27" s="4"/>
      <c r="I27" s="4"/>
      <c r="J27" s="4"/>
      <c r="K27" s="4"/>
      <c r="L27" s="4"/>
      <c r="M27" s="4"/>
      <c r="N27" s="4"/>
      <c r="O27" s="4"/>
      <c r="P27" s="4"/>
      <c r="Q27" s="4"/>
      <c r="R27" s="4"/>
      <c r="S27" s="4"/>
      <c r="T27" s="4"/>
      <c r="U27" s="4"/>
      <c r="V27" s="4"/>
      <c r="W27" s="4"/>
      <c r="X27" s="4"/>
      <c r="Y27" s="4"/>
      <c r="Z27" s="4"/>
    </row>
    <row r="28" customFormat="false" ht="15.75" hidden="false" customHeight="true" outlineLevel="0" collapsed="false">
      <c r="A28" s="4"/>
      <c r="B28" s="4"/>
      <c r="C28" s="4"/>
      <c r="D28" s="4"/>
      <c r="E28" s="31"/>
      <c r="F28" s="4"/>
      <c r="G28" s="4"/>
      <c r="H28" s="4"/>
      <c r="I28" s="4"/>
      <c r="J28" s="4"/>
      <c r="K28" s="4"/>
      <c r="L28" s="4"/>
      <c r="M28" s="4"/>
      <c r="N28" s="4"/>
      <c r="O28" s="4"/>
      <c r="P28" s="4"/>
      <c r="Q28" s="4"/>
      <c r="R28" s="4"/>
      <c r="S28" s="4"/>
      <c r="T28" s="4"/>
      <c r="U28" s="4"/>
      <c r="V28" s="4"/>
      <c r="W28" s="4"/>
      <c r="X28" s="4"/>
      <c r="Y28" s="4"/>
      <c r="Z28" s="4"/>
    </row>
    <row r="29" customFormat="false" ht="15.75" hidden="false" customHeight="true" outlineLevel="0" collapsed="false">
      <c r="A29" s="4"/>
      <c r="B29" s="4"/>
      <c r="C29" s="4"/>
      <c r="D29" s="4"/>
      <c r="E29" s="31"/>
      <c r="F29" s="4"/>
      <c r="G29" s="4"/>
      <c r="H29" s="4"/>
      <c r="I29" s="4"/>
      <c r="J29" s="4"/>
      <c r="K29" s="4"/>
      <c r="L29" s="4"/>
      <c r="M29" s="4"/>
      <c r="N29" s="4"/>
      <c r="O29" s="4"/>
      <c r="P29" s="4"/>
      <c r="Q29" s="4"/>
      <c r="R29" s="4"/>
      <c r="S29" s="4"/>
      <c r="T29" s="4"/>
      <c r="U29" s="4"/>
      <c r="V29" s="4"/>
      <c r="W29" s="4"/>
      <c r="X29" s="4"/>
      <c r="Y29" s="4"/>
      <c r="Z29" s="4"/>
    </row>
    <row r="30" customFormat="false" ht="15.75" hidden="false" customHeight="true" outlineLevel="0" collapsed="false">
      <c r="A30" s="4"/>
      <c r="B30" s="4"/>
      <c r="C30" s="4"/>
      <c r="D30" s="4"/>
      <c r="E30" s="31"/>
      <c r="F30" s="4"/>
      <c r="G30" s="4"/>
      <c r="H30" s="4"/>
      <c r="I30" s="4"/>
      <c r="J30" s="4"/>
      <c r="K30" s="4"/>
      <c r="L30" s="4"/>
      <c r="M30" s="4"/>
      <c r="N30" s="4"/>
      <c r="O30" s="4"/>
      <c r="P30" s="4"/>
      <c r="Q30" s="4"/>
      <c r="R30" s="4"/>
      <c r="S30" s="4"/>
      <c r="T30" s="4"/>
      <c r="U30" s="4"/>
      <c r="V30" s="4"/>
      <c r="W30" s="4"/>
      <c r="X30" s="4"/>
      <c r="Y30" s="4"/>
      <c r="Z30" s="4"/>
    </row>
    <row r="31" customFormat="false" ht="15.75" hidden="false" customHeight="true" outlineLevel="0" collapsed="false">
      <c r="A31" s="4"/>
      <c r="B31" s="4"/>
      <c r="C31" s="4"/>
      <c r="D31" s="4"/>
      <c r="E31" s="31"/>
      <c r="F31" s="4"/>
      <c r="G31" s="4"/>
      <c r="H31" s="4"/>
      <c r="I31" s="4"/>
      <c r="J31" s="4"/>
      <c r="K31" s="4"/>
      <c r="L31" s="4"/>
      <c r="M31" s="4"/>
      <c r="N31" s="4"/>
      <c r="O31" s="4"/>
      <c r="P31" s="4"/>
      <c r="Q31" s="4"/>
      <c r="R31" s="4"/>
      <c r="S31" s="4"/>
      <c r="T31" s="4"/>
      <c r="U31" s="4"/>
      <c r="V31" s="4"/>
      <c r="W31" s="4"/>
      <c r="X31" s="4"/>
      <c r="Y31" s="4"/>
      <c r="Z31" s="4"/>
    </row>
    <row r="32" customFormat="false" ht="15.75" hidden="false" customHeight="true" outlineLevel="0" collapsed="false">
      <c r="A32" s="4"/>
      <c r="B32" s="4"/>
      <c r="C32" s="4"/>
      <c r="D32" s="4"/>
      <c r="E32" s="31"/>
      <c r="F32" s="4"/>
      <c r="G32" s="4"/>
      <c r="H32" s="4"/>
      <c r="I32" s="4"/>
      <c r="J32" s="4"/>
      <c r="K32" s="4"/>
      <c r="L32" s="4"/>
      <c r="M32" s="4"/>
      <c r="N32" s="4"/>
      <c r="O32" s="4"/>
      <c r="P32" s="4"/>
      <c r="Q32" s="4"/>
      <c r="R32" s="4"/>
      <c r="S32" s="4"/>
      <c r="T32" s="4"/>
      <c r="U32" s="4"/>
      <c r="V32" s="4"/>
      <c r="W32" s="4"/>
      <c r="X32" s="4"/>
      <c r="Y32" s="4"/>
      <c r="Z32" s="4"/>
    </row>
    <row r="33" customFormat="false" ht="15.75" hidden="false" customHeight="true" outlineLevel="0" collapsed="false">
      <c r="A33" s="4"/>
      <c r="B33" s="4"/>
      <c r="C33" s="4"/>
      <c r="D33" s="4"/>
      <c r="E33" s="31"/>
      <c r="F33" s="4"/>
      <c r="G33" s="4"/>
      <c r="H33" s="4"/>
      <c r="I33" s="4"/>
      <c r="J33" s="4"/>
      <c r="K33" s="4"/>
      <c r="L33" s="4"/>
      <c r="M33" s="4"/>
      <c r="N33" s="4"/>
      <c r="O33" s="4"/>
      <c r="P33" s="4"/>
      <c r="Q33" s="4"/>
      <c r="R33" s="4"/>
      <c r="S33" s="4"/>
      <c r="T33" s="4"/>
      <c r="U33" s="4"/>
      <c r="V33" s="4"/>
      <c r="W33" s="4"/>
      <c r="X33" s="4"/>
      <c r="Y33" s="4"/>
      <c r="Z33" s="4"/>
    </row>
    <row r="34" customFormat="false" ht="15.75" hidden="false" customHeight="true" outlineLevel="0" collapsed="false">
      <c r="A34" s="4"/>
      <c r="B34" s="4"/>
      <c r="C34" s="4"/>
      <c r="D34" s="4"/>
      <c r="E34" s="31"/>
      <c r="F34" s="4"/>
      <c r="G34" s="4"/>
      <c r="H34" s="4"/>
      <c r="I34" s="4"/>
      <c r="J34" s="4"/>
      <c r="K34" s="4"/>
      <c r="L34" s="4"/>
      <c r="M34" s="4"/>
      <c r="N34" s="4"/>
      <c r="O34" s="4"/>
      <c r="P34" s="4"/>
      <c r="Q34" s="4"/>
      <c r="R34" s="4"/>
      <c r="S34" s="4"/>
      <c r="T34" s="4"/>
      <c r="U34" s="4"/>
      <c r="V34" s="4"/>
      <c r="W34" s="4"/>
      <c r="X34" s="4"/>
      <c r="Y34" s="4"/>
      <c r="Z34" s="4"/>
    </row>
    <row r="35" customFormat="false" ht="15.75" hidden="false" customHeight="true" outlineLevel="0" collapsed="false">
      <c r="A35" s="4"/>
      <c r="B35" s="4"/>
      <c r="C35" s="4"/>
      <c r="D35" s="4"/>
      <c r="E35" s="31"/>
      <c r="F35" s="4"/>
      <c r="G35" s="4"/>
      <c r="H35" s="4"/>
      <c r="I35" s="4"/>
      <c r="J35" s="4"/>
      <c r="K35" s="4"/>
      <c r="L35" s="4"/>
      <c r="M35" s="4"/>
      <c r="N35" s="4"/>
      <c r="O35" s="4"/>
      <c r="P35" s="4"/>
      <c r="Q35" s="4"/>
      <c r="R35" s="4"/>
      <c r="S35" s="4"/>
      <c r="T35" s="4"/>
      <c r="U35" s="4"/>
      <c r="V35" s="4"/>
      <c r="W35" s="4"/>
      <c r="X35" s="4"/>
      <c r="Y35" s="4"/>
      <c r="Z35" s="4"/>
    </row>
    <row r="36" customFormat="false" ht="15.75" hidden="false" customHeight="true" outlineLevel="0" collapsed="false">
      <c r="A36" s="4"/>
      <c r="B36" s="4"/>
      <c r="C36" s="4"/>
      <c r="D36" s="4"/>
      <c r="E36" s="31"/>
      <c r="F36" s="4"/>
      <c r="G36" s="4"/>
      <c r="H36" s="4"/>
      <c r="I36" s="4"/>
      <c r="J36" s="4"/>
      <c r="K36" s="4"/>
      <c r="L36" s="4"/>
      <c r="M36" s="4"/>
      <c r="N36" s="4"/>
      <c r="O36" s="4"/>
      <c r="P36" s="4"/>
      <c r="Q36" s="4"/>
      <c r="R36" s="4"/>
      <c r="S36" s="4"/>
      <c r="T36" s="4"/>
      <c r="U36" s="4"/>
      <c r="V36" s="4"/>
      <c r="W36" s="4"/>
      <c r="X36" s="4"/>
      <c r="Y36" s="4"/>
      <c r="Z36" s="4"/>
    </row>
    <row r="37" customFormat="false" ht="15.75" hidden="false" customHeight="true" outlineLevel="0" collapsed="false">
      <c r="A37" s="4"/>
      <c r="B37" s="4"/>
      <c r="C37" s="4"/>
      <c r="D37" s="4"/>
      <c r="E37" s="31"/>
      <c r="F37" s="4"/>
      <c r="G37" s="4"/>
      <c r="H37" s="4"/>
      <c r="I37" s="4"/>
      <c r="J37" s="4"/>
      <c r="K37" s="4"/>
      <c r="L37" s="4"/>
      <c r="M37" s="4"/>
      <c r="N37" s="4"/>
      <c r="O37" s="4"/>
      <c r="P37" s="4"/>
      <c r="Q37" s="4"/>
      <c r="R37" s="4"/>
      <c r="S37" s="4"/>
      <c r="T37" s="4"/>
      <c r="U37" s="4"/>
      <c r="V37" s="4"/>
      <c r="W37" s="4"/>
      <c r="X37" s="4"/>
      <c r="Y37" s="4"/>
      <c r="Z37" s="4"/>
    </row>
    <row r="38" customFormat="false" ht="15.75" hidden="false" customHeight="true" outlineLevel="0" collapsed="false">
      <c r="A38" s="4"/>
      <c r="B38" s="4"/>
      <c r="C38" s="4"/>
      <c r="D38" s="4"/>
      <c r="E38" s="31"/>
      <c r="F38" s="4"/>
      <c r="G38" s="4"/>
      <c r="H38" s="4"/>
      <c r="I38" s="4"/>
      <c r="J38" s="4"/>
      <c r="K38" s="4"/>
      <c r="L38" s="4"/>
      <c r="M38" s="4"/>
      <c r="N38" s="4"/>
      <c r="O38" s="4"/>
      <c r="P38" s="4"/>
      <c r="Q38" s="4"/>
      <c r="R38" s="4"/>
      <c r="S38" s="4"/>
      <c r="T38" s="4"/>
      <c r="U38" s="4"/>
      <c r="V38" s="4"/>
      <c r="W38" s="4"/>
      <c r="X38" s="4"/>
      <c r="Y38" s="4"/>
      <c r="Z38" s="4"/>
    </row>
    <row r="39" customFormat="false" ht="15.75" hidden="false" customHeight="true" outlineLevel="0" collapsed="false">
      <c r="A39" s="4"/>
      <c r="B39" s="4"/>
      <c r="C39" s="4"/>
      <c r="D39" s="4"/>
      <c r="E39" s="31"/>
      <c r="F39" s="4"/>
      <c r="G39" s="4"/>
      <c r="H39" s="4"/>
      <c r="I39" s="4"/>
      <c r="J39" s="4"/>
      <c r="K39" s="4"/>
      <c r="L39" s="4"/>
      <c r="M39" s="4"/>
      <c r="N39" s="4"/>
      <c r="O39" s="4"/>
      <c r="P39" s="4"/>
      <c r="Q39" s="4"/>
      <c r="R39" s="4"/>
      <c r="S39" s="4"/>
      <c r="T39" s="4"/>
      <c r="U39" s="4"/>
      <c r="V39" s="4"/>
      <c r="W39" s="4"/>
      <c r="X39" s="4"/>
      <c r="Y39" s="4"/>
      <c r="Z39" s="4"/>
    </row>
    <row r="40" customFormat="false" ht="15.75" hidden="false" customHeight="true" outlineLevel="0" collapsed="false">
      <c r="A40" s="4"/>
      <c r="B40" s="4"/>
      <c r="C40" s="4"/>
      <c r="D40" s="4"/>
      <c r="E40" s="31"/>
      <c r="F40" s="4"/>
      <c r="G40" s="4"/>
      <c r="H40" s="4"/>
      <c r="I40" s="4"/>
      <c r="J40" s="4"/>
      <c r="K40" s="4"/>
      <c r="L40" s="4"/>
      <c r="M40" s="4"/>
      <c r="N40" s="4"/>
      <c r="O40" s="4"/>
      <c r="P40" s="4"/>
      <c r="Q40" s="4"/>
      <c r="R40" s="4"/>
      <c r="S40" s="4"/>
      <c r="T40" s="4"/>
      <c r="U40" s="4"/>
      <c r="V40" s="4"/>
      <c r="W40" s="4"/>
      <c r="X40" s="4"/>
      <c r="Y40" s="4"/>
      <c r="Z40" s="4"/>
    </row>
    <row r="41" customFormat="false" ht="15.75" hidden="false" customHeight="true" outlineLevel="0" collapsed="false">
      <c r="A41" s="4"/>
      <c r="B41" s="4"/>
      <c r="C41" s="4"/>
      <c r="D41" s="4"/>
      <c r="E41" s="31"/>
      <c r="F41" s="4"/>
      <c r="G41" s="4"/>
      <c r="H41" s="4"/>
      <c r="I41" s="4"/>
      <c r="J41" s="4"/>
      <c r="K41" s="4"/>
      <c r="L41" s="4"/>
      <c r="M41" s="4"/>
      <c r="N41" s="4"/>
      <c r="O41" s="4"/>
      <c r="P41" s="4"/>
      <c r="Q41" s="4"/>
      <c r="R41" s="4"/>
      <c r="S41" s="4"/>
      <c r="T41" s="4"/>
      <c r="U41" s="4"/>
      <c r="V41" s="4"/>
      <c r="W41" s="4"/>
      <c r="X41" s="4"/>
      <c r="Y41" s="4"/>
      <c r="Z41" s="4"/>
    </row>
    <row r="42" customFormat="false" ht="15.75" hidden="false" customHeight="true" outlineLevel="0" collapsed="false">
      <c r="A42" s="4"/>
      <c r="B42" s="4"/>
      <c r="C42" s="4"/>
      <c r="D42" s="4"/>
      <c r="E42" s="31"/>
      <c r="F42" s="4"/>
      <c r="G42" s="4"/>
      <c r="H42" s="4"/>
      <c r="I42" s="4"/>
      <c r="J42" s="4"/>
      <c r="K42" s="4"/>
      <c r="L42" s="4"/>
      <c r="M42" s="4"/>
      <c r="N42" s="4"/>
      <c r="O42" s="4"/>
      <c r="P42" s="4"/>
      <c r="Q42" s="4"/>
      <c r="R42" s="4"/>
      <c r="S42" s="4"/>
      <c r="T42" s="4"/>
      <c r="U42" s="4"/>
      <c r="V42" s="4"/>
      <c r="W42" s="4"/>
      <c r="X42" s="4"/>
      <c r="Y42" s="4"/>
      <c r="Z42" s="4"/>
    </row>
    <row r="43" customFormat="false" ht="15.75" hidden="false" customHeight="true" outlineLevel="0" collapsed="false">
      <c r="A43" s="4"/>
      <c r="B43" s="4"/>
      <c r="C43" s="4"/>
      <c r="D43" s="4"/>
      <c r="E43" s="31"/>
      <c r="F43" s="4"/>
      <c r="G43" s="4"/>
      <c r="H43" s="4"/>
      <c r="I43" s="4"/>
      <c r="J43" s="4"/>
      <c r="K43" s="4"/>
      <c r="L43" s="4"/>
      <c r="M43" s="4"/>
      <c r="N43" s="4"/>
      <c r="O43" s="4"/>
      <c r="P43" s="4"/>
      <c r="Q43" s="4"/>
      <c r="R43" s="4"/>
      <c r="S43" s="4"/>
      <c r="T43" s="4"/>
      <c r="U43" s="4"/>
      <c r="V43" s="4"/>
      <c r="W43" s="4"/>
      <c r="X43" s="4"/>
      <c r="Y43" s="4"/>
      <c r="Z43" s="4"/>
    </row>
    <row r="44" customFormat="false" ht="15.75" hidden="false" customHeight="true" outlineLevel="0" collapsed="false">
      <c r="A44" s="4"/>
      <c r="B44" s="4"/>
      <c r="C44" s="4"/>
      <c r="D44" s="4"/>
      <c r="E44" s="31"/>
      <c r="F44" s="4"/>
      <c r="G44" s="4"/>
      <c r="H44" s="4"/>
      <c r="I44" s="4"/>
      <c r="J44" s="4"/>
      <c r="K44" s="4"/>
      <c r="L44" s="4"/>
      <c r="M44" s="4"/>
      <c r="N44" s="4"/>
      <c r="O44" s="4"/>
      <c r="P44" s="4"/>
      <c r="Q44" s="4"/>
      <c r="R44" s="4"/>
      <c r="S44" s="4"/>
      <c r="T44" s="4"/>
      <c r="U44" s="4"/>
      <c r="V44" s="4"/>
      <c r="W44" s="4"/>
      <c r="X44" s="4"/>
      <c r="Y44" s="4"/>
      <c r="Z44" s="4"/>
    </row>
    <row r="45" customFormat="false" ht="15.75" hidden="false" customHeight="true" outlineLevel="0" collapsed="false">
      <c r="A45" s="4"/>
      <c r="B45" s="4"/>
      <c r="C45" s="4"/>
      <c r="D45" s="4"/>
      <c r="E45" s="31"/>
      <c r="F45" s="4"/>
      <c r="G45" s="4"/>
      <c r="H45" s="4"/>
      <c r="I45" s="4"/>
      <c r="J45" s="4"/>
      <c r="K45" s="4"/>
      <c r="L45" s="4"/>
      <c r="M45" s="4"/>
      <c r="N45" s="4"/>
      <c r="O45" s="4"/>
      <c r="P45" s="4"/>
      <c r="Q45" s="4"/>
      <c r="R45" s="4"/>
      <c r="S45" s="4"/>
      <c r="T45" s="4"/>
      <c r="U45" s="4"/>
      <c r="V45" s="4"/>
      <c r="W45" s="4"/>
      <c r="X45" s="4"/>
      <c r="Y45" s="4"/>
      <c r="Z45" s="4"/>
    </row>
    <row r="46" customFormat="false" ht="15.75" hidden="false" customHeight="true" outlineLevel="0" collapsed="false">
      <c r="A46" s="4"/>
      <c r="B46" s="4"/>
      <c r="C46" s="4"/>
      <c r="D46" s="4"/>
      <c r="E46" s="31"/>
      <c r="F46" s="4"/>
      <c r="G46" s="4"/>
      <c r="H46" s="4"/>
      <c r="I46" s="4"/>
      <c r="J46" s="4"/>
      <c r="K46" s="4"/>
      <c r="L46" s="4"/>
      <c r="M46" s="4"/>
      <c r="N46" s="4"/>
      <c r="O46" s="4"/>
      <c r="P46" s="4"/>
      <c r="Q46" s="4"/>
      <c r="R46" s="4"/>
      <c r="S46" s="4"/>
      <c r="T46" s="4"/>
      <c r="U46" s="4"/>
      <c r="V46" s="4"/>
      <c r="W46" s="4"/>
      <c r="X46" s="4"/>
      <c r="Y46" s="4"/>
      <c r="Z46" s="4"/>
    </row>
    <row r="47" customFormat="false" ht="15.75" hidden="false" customHeight="true" outlineLevel="0" collapsed="false">
      <c r="A47" s="4"/>
      <c r="B47" s="4"/>
      <c r="C47" s="4"/>
      <c r="D47" s="4"/>
      <c r="E47" s="31"/>
      <c r="F47" s="4"/>
      <c r="G47" s="4"/>
      <c r="H47" s="4"/>
      <c r="I47" s="4"/>
      <c r="J47" s="4"/>
      <c r="K47" s="4"/>
      <c r="L47" s="4"/>
      <c r="M47" s="4"/>
      <c r="N47" s="4"/>
      <c r="O47" s="4"/>
      <c r="P47" s="4"/>
      <c r="Q47" s="4"/>
      <c r="R47" s="4"/>
      <c r="S47" s="4"/>
      <c r="T47" s="4"/>
      <c r="U47" s="4"/>
      <c r="V47" s="4"/>
      <c r="W47" s="4"/>
      <c r="X47" s="4"/>
      <c r="Y47" s="4"/>
      <c r="Z47" s="4"/>
    </row>
    <row r="48" customFormat="false" ht="15.75" hidden="false" customHeight="true" outlineLevel="0" collapsed="false">
      <c r="A48" s="4"/>
      <c r="B48" s="4"/>
      <c r="C48" s="4"/>
      <c r="D48" s="4"/>
      <c r="E48" s="31"/>
      <c r="F48" s="4"/>
      <c r="G48" s="4"/>
      <c r="H48" s="4"/>
      <c r="I48" s="4"/>
      <c r="J48" s="4"/>
      <c r="K48" s="4"/>
      <c r="L48" s="4"/>
      <c r="M48" s="4"/>
      <c r="N48" s="4"/>
      <c r="O48" s="4"/>
      <c r="P48" s="4"/>
      <c r="Q48" s="4"/>
      <c r="R48" s="4"/>
      <c r="S48" s="4"/>
      <c r="T48" s="4"/>
      <c r="U48" s="4"/>
      <c r="V48" s="4"/>
      <c r="W48" s="4"/>
      <c r="X48" s="4"/>
      <c r="Y48" s="4"/>
      <c r="Z48" s="4"/>
    </row>
    <row r="49" customFormat="false" ht="15.75" hidden="false" customHeight="true" outlineLevel="0" collapsed="false">
      <c r="A49" s="4"/>
      <c r="B49" s="4"/>
      <c r="C49" s="4"/>
      <c r="D49" s="4"/>
      <c r="E49" s="31"/>
      <c r="F49" s="4"/>
      <c r="G49" s="4"/>
      <c r="H49" s="4"/>
      <c r="I49" s="4"/>
      <c r="J49" s="4"/>
      <c r="K49" s="4"/>
      <c r="L49" s="4"/>
      <c r="M49" s="4"/>
      <c r="N49" s="4"/>
      <c r="O49" s="4"/>
      <c r="P49" s="4"/>
      <c r="Q49" s="4"/>
      <c r="R49" s="4"/>
      <c r="S49" s="4"/>
      <c r="T49" s="4"/>
      <c r="U49" s="4"/>
      <c r="V49" s="4"/>
      <c r="W49" s="4"/>
      <c r="X49" s="4"/>
      <c r="Y49" s="4"/>
      <c r="Z49" s="4"/>
    </row>
    <row r="50" customFormat="false" ht="15.75" hidden="false" customHeight="true" outlineLevel="0" collapsed="false">
      <c r="A50" s="4"/>
      <c r="B50" s="4"/>
      <c r="C50" s="4"/>
      <c r="D50" s="4"/>
      <c r="E50" s="31"/>
      <c r="F50" s="4"/>
      <c r="G50" s="4"/>
      <c r="H50" s="4"/>
      <c r="I50" s="4"/>
      <c r="J50" s="4"/>
      <c r="K50" s="4"/>
      <c r="L50" s="4"/>
      <c r="M50" s="4"/>
      <c r="N50" s="4"/>
      <c r="O50" s="4"/>
      <c r="P50" s="4"/>
      <c r="Q50" s="4"/>
      <c r="R50" s="4"/>
      <c r="S50" s="4"/>
      <c r="T50" s="4"/>
      <c r="U50" s="4"/>
      <c r="V50" s="4"/>
      <c r="W50" s="4"/>
      <c r="X50" s="4"/>
      <c r="Y50" s="4"/>
      <c r="Z50" s="4"/>
    </row>
    <row r="51" customFormat="false" ht="15.75" hidden="false" customHeight="true" outlineLevel="0" collapsed="false">
      <c r="A51" s="4"/>
      <c r="B51" s="4"/>
      <c r="C51" s="4"/>
      <c r="D51" s="4"/>
      <c r="E51" s="31"/>
      <c r="F51" s="4"/>
      <c r="G51" s="4"/>
      <c r="H51" s="4"/>
      <c r="I51" s="4"/>
      <c r="J51" s="4"/>
      <c r="K51" s="4"/>
      <c r="L51" s="4"/>
      <c r="M51" s="4"/>
      <c r="N51" s="4"/>
      <c r="O51" s="4"/>
      <c r="P51" s="4"/>
      <c r="Q51" s="4"/>
      <c r="R51" s="4"/>
      <c r="S51" s="4"/>
      <c r="T51" s="4"/>
      <c r="U51" s="4"/>
      <c r="V51" s="4"/>
      <c r="W51" s="4"/>
      <c r="X51" s="4"/>
      <c r="Y51" s="4"/>
      <c r="Z51" s="4"/>
    </row>
    <row r="52" customFormat="false" ht="15.75" hidden="false" customHeight="true" outlineLevel="0" collapsed="false">
      <c r="A52" s="4"/>
      <c r="B52" s="4"/>
      <c r="C52" s="4"/>
      <c r="D52" s="4"/>
      <c r="E52" s="31"/>
      <c r="F52" s="4"/>
      <c r="G52" s="4"/>
      <c r="H52" s="4"/>
      <c r="I52" s="4"/>
      <c r="J52" s="4"/>
      <c r="K52" s="4"/>
      <c r="L52" s="4"/>
      <c r="M52" s="4"/>
      <c r="N52" s="4"/>
      <c r="O52" s="4"/>
      <c r="P52" s="4"/>
      <c r="Q52" s="4"/>
      <c r="R52" s="4"/>
      <c r="S52" s="4"/>
      <c r="T52" s="4"/>
      <c r="U52" s="4"/>
      <c r="V52" s="4"/>
      <c r="W52" s="4"/>
      <c r="X52" s="4"/>
      <c r="Y52" s="4"/>
      <c r="Z52" s="4"/>
    </row>
    <row r="53" customFormat="false" ht="15.75" hidden="false" customHeight="true" outlineLevel="0" collapsed="false">
      <c r="A53" s="4"/>
      <c r="B53" s="4"/>
      <c r="C53" s="4"/>
      <c r="D53" s="4"/>
      <c r="E53" s="31"/>
      <c r="F53" s="4"/>
      <c r="G53" s="4"/>
      <c r="H53" s="4"/>
      <c r="I53" s="4"/>
      <c r="J53" s="4"/>
      <c r="K53" s="4"/>
      <c r="L53" s="4"/>
      <c r="M53" s="4"/>
      <c r="N53" s="4"/>
      <c r="O53" s="4"/>
      <c r="P53" s="4"/>
      <c r="Q53" s="4"/>
      <c r="R53" s="4"/>
      <c r="S53" s="4"/>
      <c r="T53" s="4"/>
      <c r="U53" s="4"/>
      <c r="V53" s="4"/>
      <c r="W53" s="4"/>
      <c r="X53" s="4"/>
      <c r="Y53" s="4"/>
      <c r="Z53" s="4"/>
    </row>
    <row r="54" customFormat="false" ht="15.75" hidden="false" customHeight="true" outlineLevel="0" collapsed="false">
      <c r="A54" s="4"/>
      <c r="B54" s="4"/>
      <c r="C54" s="4"/>
      <c r="D54" s="4"/>
      <c r="E54" s="31"/>
      <c r="F54" s="4"/>
      <c r="G54" s="4"/>
      <c r="H54" s="4"/>
      <c r="I54" s="4"/>
      <c r="J54" s="4"/>
      <c r="K54" s="4"/>
      <c r="L54" s="4"/>
      <c r="M54" s="4"/>
      <c r="N54" s="4"/>
      <c r="O54" s="4"/>
      <c r="P54" s="4"/>
      <c r="Q54" s="4"/>
      <c r="R54" s="4"/>
      <c r="S54" s="4"/>
      <c r="T54" s="4"/>
      <c r="U54" s="4"/>
      <c r="V54" s="4"/>
      <c r="W54" s="4"/>
      <c r="X54" s="4"/>
      <c r="Y54" s="4"/>
      <c r="Z54" s="4"/>
    </row>
    <row r="55" customFormat="false" ht="15.75" hidden="false" customHeight="true" outlineLevel="0" collapsed="false">
      <c r="A55" s="4"/>
      <c r="B55" s="4"/>
      <c r="C55" s="4"/>
      <c r="D55" s="4"/>
      <c r="E55" s="31"/>
      <c r="F55" s="4"/>
      <c r="G55" s="4"/>
      <c r="H55" s="4"/>
      <c r="I55" s="4"/>
      <c r="J55" s="4"/>
      <c r="K55" s="4"/>
      <c r="L55" s="4"/>
      <c r="M55" s="4"/>
      <c r="N55" s="4"/>
      <c r="O55" s="4"/>
      <c r="P55" s="4"/>
      <c r="Q55" s="4"/>
      <c r="R55" s="4"/>
      <c r="S55" s="4"/>
      <c r="T55" s="4"/>
      <c r="U55" s="4"/>
      <c r="V55" s="4"/>
      <c r="W55" s="4"/>
      <c r="X55" s="4"/>
      <c r="Y55" s="4"/>
      <c r="Z55" s="4"/>
    </row>
    <row r="56" customFormat="false" ht="15.75" hidden="false" customHeight="true" outlineLevel="0" collapsed="false">
      <c r="A56" s="4"/>
      <c r="B56" s="4"/>
      <c r="C56" s="4"/>
      <c r="D56" s="4"/>
      <c r="E56" s="31"/>
      <c r="F56" s="4"/>
      <c r="G56" s="4"/>
      <c r="H56" s="4"/>
      <c r="I56" s="4"/>
      <c r="J56" s="4"/>
      <c r="K56" s="4"/>
      <c r="L56" s="4"/>
      <c r="M56" s="4"/>
      <c r="N56" s="4"/>
      <c r="O56" s="4"/>
      <c r="P56" s="4"/>
      <c r="Q56" s="4"/>
      <c r="R56" s="4"/>
      <c r="S56" s="4"/>
      <c r="T56" s="4"/>
      <c r="U56" s="4"/>
      <c r="V56" s="4"/>
      <c r="W56" s="4"/>
      <c r="X56" s="4"/>
      <c r="Y56" s="4"/>
      <c r="Z56" s="4"/>
    </row>
    <row r="57" customFormat="false" ht="15.75" hidden="false" customHeight="true" outlineLevel="0" collapsed="false">
      <c r="A57" s="4"/>
      <c r="B57" s="4"/>
      <c r="C57" s="4"/>
      <c r="D57" s="4"/>
      <c r="E57" s="31"/>
      <c r="F57" s="4"/>
      <c r="G57" s="4"/>
      <c r="H57" s="4"/>
      <c r="I57" s="4"/>
      <c r="J57" s="4"/>
      <c r="K57" s="4"/>
      <c r="L57" s="4"/>
      <c r="M57" s="4"/>
      <c r="N57" s="4"/>
      <c r="O57" s="4"/>
      <c r="P57" s="4"/>
      <c r="Q57" s="4"/>
      <c r="R57" s="4"/>
      <c r="S57" s="4"/>
      <c r="T57" s="4"/>
      <c r="U57" s="4"/>
      <c r="V57" s="4"/>
      <c r="W57" s="4"/>
      <c r="X57" s="4"/>
      <c r="Y57" s="4"/>
      <c r="Z57" s="4"/>
    </row>
    <row r="58" customFormat="false" ht="15.75" hidden="false" customHeight="true" outlineLevel="0" collapsed="false">
      <c r="A58" s="4"/>
      <c r="B58" s="4"/>
      <c r="C58" s="4"/>
      <c r="D58" s="4"/>
      <c r="E58" s="31"/>
      <c r="F58" s="4"/>
      <c r="G58" s="4"/>
      <c r="H58" s="4"/>
      <c r="I58" s="4"/>
      <c r="J58" s="4"/>
      <c r="K58" s="4"/>
      <c r="L58" s="4"/>
      <c r="M58" s="4"/>
      <c r="N58" s="4"/>
      <c r="O58" s="4"/>
      <c r="P58" s="4"/>
      <c r="Q58" s="4"/>
      <c r="R58" s="4"/>
      <c r="S58" s="4"/>
      <c r="T58" s="4"/>
      <c r="U58" s="4"/>
      <c r="V58" s="4"/>
      <c r="W58" s="4"/>
      <c r="X58" s="4"/>
      <c r="Y58" s="4"/>
      <c r="Z58" s="4"/>
    </row>
    <row r="59" customFormat="false" ht="15.75" hidden="false" customHeight="true" outlineLevel="0" collapsed="false">
      <c r="A59" s="4"/>
      <c r="B59" s="4"/>
      <c r="C59" s="4"/>
      <c r="D59" s="4"/>
      <c r="E59" s="31"/>
      <c r="F59" s="4"/>
      <c r="G59" s="4"/>
      <c r="H59" s="4"/>
      <c r="I59" s="4"/>
      <c r="J59" s="4"/>
      <c r="K59" s="4"/>
      <c r="L59" s="4"/>
      <c r="M59" s="4"/>
      <c r="N59" s="4"/>
      <c r="O59" s="4"/>
      <c r="P59" s="4"/>
      <c r="Q59" s="4"/>
      <c r="R59" s="4"/>
      <c r="S59" s="4"/>
      <c r="T59" s="4"/>
      <c r="U59" s="4"/>
      <c r="V59" s="4"/>
      <c r="W59" s="4"/>
      <c r="X59" s="4"/>
      <c r="Y59" s="4"/>
      <c r="Z59" s="4"/>
    </row>
    <row r="60" customFormat="false" ht="15.75" hidden="false" customHeight="true" outlineLevel="0" collapsed="false">
      <c r="A60" s="4"/>
      <c r="B60" s="4"/>
      <c r="C60" s="4"/>
      <c r="D60" s="4"/>
      <c r="E60" s="31"/>
      <c r="F60" s="4"/>
      <c r="G60" s="4"/>
      <c r="H60" s="4"/>
      <c r="I60" s="4"/>
      <c r="J60" s="4"/>
      <c r="K60" s="4"/>
      <c r="L60" s="4"/>
      <c r="M60" s="4"/>
      <c r="N60" s="4"/>
      <c r="O60" s="4"/>
      <c r="P60" s="4"/>
      <c r="Q60" s="4"/>
      <c r="R60" s="4"/>
      <c r="S60" s="4"/>
      <c r="T60" s="4"/>
      <c r="U60" s="4"/>
      <c r="V60" s="4"/>
      <c r="W60" s="4"/>
      <c r="X60" s="4"/>
      <c r="Y60" s="4"/>
      <c r="Z60" s="4"/>
    </row>
    <row r="61" customFormat="false" ht="15.75" hidden="false" customHeight="true" outlineLevel="0" collapsed="false">
      <c r="A61" s="4"/>
      <c r="B61" s="4"/>
      <c r="C61" s="4"/>
      <c r="D61" s="4"/>
      <c r="E61" s="31"/>
      <c r="F61" s="4"/>
      <c r="G61" s="4"/>
      <c r="H61" s="4"/>
      <c r="I61" s="4"/>
      <c r="J61" s="4"/>
      <c r="K61" s="4"/>
      <c r="L61" s="4"/>
      <c r="M61" s="4"/>
      <c r="N61" s="4"/>
      <c r="O61" s="4"/>
      <c r="P61" s="4"/>
      <c r="Q61" s="4"/>
      <c r="R61" s="4"/>
      <c r="S61" s="4"/>
      <c r="T61" s="4"/>
      <c r="U61" s="4"/>
      <c r="V61" s="4"/>
      <c r="W61" s="4"/>
      <c r="X61" s="4"/>
      <c r="Y61" s="4"/>
      <c r="Z61" s="4"/>
    </row>
    <row r="62" customFormat="false" ht="15.75" hidden="false" customHeight="true" outlineLevel="0" collapsed="false">
      <c r="A62" s="4"/>
      <c r="B62" s="4"/>
      <c r="C62" s="4"/>
      <c r="D62" s="4"/>
      <c r="E62" s="31"/>
      <c r="F62" s="4"/>
      <c r="G62" s="4"/>
      <c r="H62" s="4"/>
      <c r="I62" s="4"/>
      <c r="J62" s="4"/>
      <c r="K62" s="4"/>
      <c r="L62" s="4"/>
      <c r="M62" s="4"/>
      <c r="N62" s="4"/>
      <c r="O62" s="4"/>
      <c r="P62" s="4"/>
      <c r="Q62" s="4"/>
      <c r="R62" s="4"/>
      <c r="S62" s="4"/>
      <c r="T62" s="4"/>
      <c r="U62" s="4"/>
      <c r="V62" s="4"/>
      <c r="W62" s="4"/>
      <c r="X62" s="4"/>
      <c r="Y62" s="4"/>
      <c r="Z62" s="4"/>
    </row>
    <row r="63" customFormat="false" ht="15.75" hidden="false" customHeight="true" outlineLevel="0" collapsed="false">
      <c r="A63" s="4"/>
      <c r="B63" s="4"/>
      <c r="C63" s="4"/>
      <c r="D63" s="4"/>
      <c r="E63" s="31"/>
      <c r="F63" s="4"/>
      <c r="G63" s="4"/>
      <c r="H63" s="4"/>
      <c r="I63" s="4"/>
      <c r="J63" s="4"/>
      <c r="K63" s="4"/>
      <c r="L63" s="4"/>
      <c r="M63" s="4"/>
      <c r="N63" s="4"/>
      <c r="O63" s="4"/>
      <c r="P63" s="4"/>
      <c r="Q63" s="4"/>
      <c r="R63" s="4"/>
      <c r="S63" s="4"/>
      <c r="T63" s="4"/>
      <c r="U63" s="4"/>
      <c r="V63" s="4"/>
      <c r="W63" s="4"/>
      <c r="X63" s="4"/>
      <c r="Y63" s="4"/>
      <c r="Z63" s="4"/>
    </row>
    <row r="64" customFormat="false" ht="15.75" hidden="false" customHeight="true" outlineLevel="0" collapsed="false">
      <c r="A64" s="4"/>
      <c r="B64" s="4"/>
      <c r="C64" s="4"/>
      <c r="D64" s="4"/>
      <c r="E64" s="31"/>
      <c r="F64" s="4"/>
      <c r="G64" s="4"/>
      <c r="H64" s="4"/>
      <c r="I64" s="4"/>
      <c r="J64" s="4"/>
      <c r="K64" s="4"/>
      <c r="L64" s="4"/>
      <c r="M64" s="4"/>
      <c r="N64" s="4"/>
      <c r="O64" s="4"/>
      <c r="P64" s="4"/>
      <c r="Q64" s="4"/>
      <c r="R64" s="4"/>
      <c r="S64" s="4"/>
      <c r="T64" s="4"/>
      <c r="U64" s="4"/>
      <c r="V64" s="4"/>
      <c r="W64" s="4"/>
      <c r="X64" s="4"/>
      <c r="Y64" s="4"/>
      <c r="Z64" s="4"/>
    </row>
    <row r="65" customFormat="false" ht="15.75" hidden="false" customHeight="true" outlineLevel="0" collapsed="false">
      <c r="A65" s="4"/>
      <c r="B65" s="4"/>
      <c r="C65" s="4"/>
      <c r="D65" s="4"/>
      <c r="E65" s="31"/>
      <c r="F65" s="4"/>
      <c r="G65" s="4"/>
      <c r="H65" s="4"/>
      <c r="I65" s="4"/>
      <c r="J65" s="4"/>
      <c r="K65" s="4"/>
      <c r="L65" s="4"/>
      <c r="M65" s="4"/>
      <c r="N65" s="4"/>
      <c r="O65" s="4"/>
      <c r="P65" s="4"/>
      <c r="Q65" s="4"/>
      <c r="R65" s="4"/>
      <c r="S65" s="4"/>
      <c r="T65" s="4"/>
      <c r="U65" s="4"/>
      <c r="V65" s="4"/>
      <c r="W65" s="4"/>
      <c r="X65" s="4"/>
      <c r="Y65" s="4"/>
      <c r="Z65" s="4"/>
    </row>
    <row r="66" customFormat="false" ht="15.75" hidden="false" customHeight="true" outlineLevel="0" collapsed="false">
      <c r="A66" s="4"/>
      <c r="B66" s="4"/>
      <c r="C66" s="4"/>
      <c r="D66" s="4"/>
      <c r="E66" s="31"/>
      <c r="F66" s="4"/>
      <c r="G66" s="4"/>
      <c r="H66" s="4"/>
      <c r="I66" s="4"/>
      <c r="J66" s="4"/>
      <c r="K66" s="4"/>
      <c r="L66" s="4"/>
      <c r="M66" s="4"/>
      <c r="N66" s="4"/>
      <c r="O66" s="4"/>
      <c r="P66" s="4"/>
      <c r="Q66" s="4"/>
      <c r="R66" s="4"/>
      <c r="S66" s="4"/>
      <c r="T66" s="4"/>
      <c r="U66" s="4"/>
      <c r="V66" s="4"/>
      <c r="W66" s="4"/>
      <c r="X66" s="4"/>
      <c r="Y66" s="4"/>
      <c r="Z66" s="4"/>
    </row>
    <row r="67" customFormat="false" ht="15.75" hidden="false" customHeight="true" outlineLevel="0" collapsed="false">
      <c r="A67" s="4"/>
      <c r="B67" s="4"/>
      <c r="C67" s="4"/>
      <c r="D67" s="4"/>
      <c r="E67" s="31"/>
      <c r="F67" s="4"/>
      <c r="G67" s="4"/>
      <c r="H67" s="4"/>
      <c r="I67" s="4"/>
      <c r="J67" s="4"/>
      <c r="K67" s="4"/>
      <c r="L67" s="4"/>
      <c r="M67" s="4"/>
      <c r="N67" s="4"/>
      <c r="O67" s="4"/>
      <c r="P67" s="4"/>
      <c r="Q67" s="4"/>
      <c r="R67" s="4"/>
      <c r="S67" s="4"/>
      <c r="T67" s="4"/>
      <c r="U67" s="4"/>
      <c r="V67" s="4"/>
      <c r="W67" s="4"/>
      <c r="X67" s="4"/>
      <c r="Y67" s="4"/>
      <c r="Z67" s="4"/>
    </row>
    <row r="68" customFormat="false" ht="15.75" hidden="false" customHeight="true" outlineLevel="0" collapsed="false">
      <c r="A68" s="4"/>
      <c r="B68" s="4"/>
      <c r="C68" s="4"/>
      <c r="D68" s="4"/>
      <c r="E68" s="31"/>
      <c r="F68" s="4"/>
      <c r="G68" s="4"/>
      <c r="H68" s="4"/>
      <c r="I68" s="4"/>
      <c r="J68" s="4"/>
      <c r="K68" s="4"/>
      <c r="L68" s="4"/>
      <c r="M68" s="4"/>
      <c r="N68" s="4"/>
      <c r="O68" s="4"/>
      <c r="P68" s="4"/>
      <c r="Q68" s="4"/>
      <c r="R68" s="4"/>
      <c r="S68" s="4"/>
      <c r="T68" s="4"/>
      <c r="U68" s="4"/>
      <c r="V68" s="4"/>
      <c r="W68" s="4"/>
      <c r="X68" s="4"/>
      <c r="Y68" s="4"/>
      <c r="Z68" s="4"/>
    </row>
    <row r="69" customFormat="false" ht="15.75" hidden="false" customHeight="true" outlineLevel="0" collapsed="false">
      <c r="A69" s="4"/>
      <c r="B69" s="4"/>
      <c r="C69" s="4"/>
      <c r="D69" s="4"/>
      <c r="E69" s="31"/>
      <c r="F69" s="4"/>
      <c r="G69" s="4"/>
      <c r="H69" s="4"/>
      <c r="I69" s="4"/>
      <c r="J69" s="4"/>
      <c r="K69" s="4"/>
      <c r="L69" s="4"/>
      <c r="M69" s="4"/>
      <c r="N69" s="4"/>
      <c r="O69" s="4"/>
      <c r="P69" s="4"/>
      <c r="Q69" s="4"/>
      <c r="R69" s="4"/>
      <c r="S69" s="4"/>
      <c r="T69" s="4"/>
      <c r="U69" s="4"/>
      <c r="V69" s="4"/>
      <c r="W69" s="4"/>
      <c r="X69" s="4"/>
      <c r="Y69" s="4"/>
      <c r="Z69" s="4"/>
    </row>
    <row r="70" customFormat="false" ht="15.75" hidden="false" customHeight="true" outlineLevel="0" collapsed="false">
      <c r="A70" s="4"/>
      <c r="B70" s="4"/>
      <c r="C70" s="4"/>
      <c r="D70" s="4"/>
      <c r="E70" s="31"/>
      <c r="F70" s="4"/>
      <c r="G70" s="4"/>
      <c r="H70" s="4"/>
      <c r="I70" s="4"/>
      <c r="J70" s="4"/>
      <c r="K70" s="4"/>
      <c r="L70" s="4"/>
      <c r="M70" s="4"/>
      <c r="N70" s="4"/>
      <c r="O70" s="4"/>
      <c r="P70" s="4"/>
      <c r="Q70" s="4"/>
      <c r="R70" s="4"/>
      <c r="S70" s="4"/>
      <c r="T70" s="4"/>
      <c r="U70" s="4"/>
      <c r="V70" s="4"/>
      <c r="W70" s="4"/>
      <c r="X70" s="4"/>
      <c r="Y70" s="4"/>
      <c r="Z70" s="4"/>
    </row>
    <row r="71" customFormat="false" ht="15.75" hidden="false" customHeight="true" outlineLevel="0" collapsed="false">
      <c r="A71" s="4"/>
      <c r="B71" s="4"/>
      <c r="C71" s="4"/>
      <c r="D71" s="4"/>
      <c r="E71" s="31"/>
      <c r="F71" s="4"/>
      <c r="G71" s="4"/>
      <c r="H71" s="4"/>
      <c r="I71" s="4"/>
      <c r="J71" s="4"/>
      <c r="K71" s="4"/>
      <c r="L71" s="4"/>
      <c r="M71" s="4"/>
      <c r="N71" s="4"/>
      <c r="O71" s="4"/>
      <c r="P71" s="4"/>
      <c r="Q71" s="4"/>
      <c r="R71" s="4"/>
      <c r="S71" s="4"/>
      <c r="T71" s="4"/>
      <c r="U71" s="4"/>
      <c r="V71" s="4"/>
      <c r="W71" s="4"/>
      <c r="X71" s="4"/>
      <c r="Y71" s="4"/>
      <c r="Z71" s="4"/>
    </row>
    <row r="72" customFormat="false" ht="15.75" hidden="false" customHeight="true" outlineLevel="0" collapsed="false">
      <c r="A72" s="4"/>
      <c r="B72" s="4"/>
      <c r="C72" s="4"/>
      <c r="D72" s="4"/>
      <c r="E72" s="31"/>
      <c r="F72" s="4"/>
      <c r="G72" s="4"/>
      <c r="H72" s="4"/>
      <c r="I72" s="4"/>
      <c r="J72" s="4"/>
      <c r="K72" s="4"/>
      <c r="L72" s="4"/>
      <c r="M72" s="4"/>
      <c r="N72" s="4"/>
      <c r="O72" s="4"/>
      <c r="P72" s="4"/>
      <c r="Q72" s="4"/>
      <c r="R72" s="4"/>
      <c r="S72" s="4"/>
      <c r="T72" s="4"/>
      <c r="U72" s="4"/>
      <c r="V72" s="4"/>
      <c r="W72" s="4"/>
      <c r="X72" s="4"/>
      <c r="Y72" s="4"/>
      <c r="Z72" s="4"/>
    </row>
    <row r="73" customFormat="false" ht="15.75" hidden="false" customHeight="true" outlineLevel="0" collapsed="false">
      <c r="A73" s="4"/>
      <c r="B73" s="4"/>
      <c r="C73" s="4"/>
      <c r="D73" s="4"/>
      <c r="E73" s="31"/>
      <c r="F73" s="4"/>
      <c r="G73" s="4"/>
      <c r="H73" s="4"/>
      <c r="I73" s="4"/>
      <c r="J73" s="4"/>
      <c r="K73" s="4"/>
      <c r="L73" s="4"/>
      <c r="M73" s="4"/>
      <c r="N73" s="4"/>
      <c r="O73" s="4"/>
      <c r="P73" s="4"/>
      <c r="Q73" s="4"/>
      <c r="R73" s="4"/>
      <c r="S73" s="4"/>
      <c r="T73" s="4"/>
      <c r="U73" s="4"/>
      <c r="V73" s="4"/>
      <c r="W73" s="4"/>
      <c r="X73" s="4"/>
      <c r="Y73" s="4"/>
      <c r="Z73" s="4"/>
    </row>
    <row r="74" customFormat="false" ht="15.75" hidden="false" customHeight="true" outlineLevel="0" collapsed="false">
      <c r="A74" s="4"/>
      <c r="B74" s="4"/>
      <c r="C74" s="4"/>
      <c r="D74" s="4"/>
      <c r="E74" s="31"/>
      <c r="F74" s="4"/>
      <c r="G74" s="4"/>
      <c r="H74" s="4"/>
      <c r="I74" s="4"/>
      <c r="J74" s="4"/>
      <c r="K74" s="4"/>
      <c r="L74" s="4"/>
      <c r="M74" s="4"/>
      <c r="N74" s="4"/>
      <c r="O74" s="4"/>
      <c r="P74" s="4"/>
      <c r="Q74" s="4"/>
      <c r="R74" s="4"/>
      <c r="S74" s="4"/>
      <c r="T74" s="4"/>
      <c r="U74" s="4"/>
      <c r="V74" s="4"/>
      <c r="W74" s="4"/>
      <c r="X74" s="4"/>
      <c r="Y74" s="4"/>
      <c r="Z74" s="4"/>
    </row>
    <row r="75" customFormat="false" ht="15.75" hidden="false" customHeight="true" outlineLevel="0" collapsed="false">
      <c r="A75" s="4"/>
      <c r="B75" s="4"/>
      <c r="C75" s="4"/>
      <c r="D75" s="4"/>
      <c r="E75" s="31"/>
      <c r="F75" s="4"/>
      <c r="G75" s="4"/>
      <c r="H75" s="4"/>
      <c r="I75" s="4"/>
      <c r="J75" s="4"/>
      <c r="K75" s="4"/>
      <c r="L75" s="4"/>
      <c r="M75" s="4"/>
      <c r="N75" s="4"/>
      <c r="O75" s="4"/>
      <c r="P75" s="4"/>
      <c r="Q75" s="4"/>
      <c r="R75" s="4"/>
      <c r="S75" s="4"/>
      <c r="T75" s="4"/>
      <c r="U75" s="4"/>
      <c r="V75" s="4"/>
      <c r="W75" s="4"/>
      <c r="X75" s="4"/>
      <c r="Y75" s="4"/>
      <c r="Z75" s="4"/>
    </row>
    <row r="76" customFormat="false" ht="15.75" hidden="false" customHeight="true" outlineLevel="0" collapsed="false">
      <c r="A76" s="4"/>
      <c r="B76" s="4"/>
      <c r="C76" s="4"/>
      <c r="D76" s="4"/>
      <c r="E76" s="31"/>
      <c r="F76" s="4"/>
      <c r="G76" s="4"/>
      <c r="H76" s="4"/>
      <c r="I76" s="4"/>
      <c r="J76" s="4"/>
      <c r="K76" s="4"/>
      <c r="L76" s="4"/>
      <c r="M76" s="4"/>
      <c r="N76" s="4"/>
      <c r="O76" s="4"/>
      <c r="P76" s="4"/>
      <c r="Q76" s="4"/>
      <c r="R76" s="4"/>
      <c r="S76" s="4"/>
      <c r="T76" s="4"/>
      <c r="U76" s="4"/>
      <c r="V76" s="4"/>
      <c r="W76" s="4"/>
      <c r="X76" s="4"/>
      <c r="Y76" s="4"/>
      <c r="Z76" s="4"/>
    </row>
    <row r="77" customFormat="false" ht="15.75" hidden="false" customHeight="true" outlineLevel="0" collapsed="false">
      <c r="A77" s="4"/>
      <c r="B77" s="4"/>
      <c r="C77" s="4"/>
      <c r="D77" s="4"/>
      <c r="E77" s="31"/>
      <c r="F77" s="4"/>
      <c r="G77" s="4"/>
      <c r="H77" s="4"/>
      <c r="I77" s="4"/>
      <c r="J77" s="4"/>
      <c r="K77" s="4"/>
      <c r="L77" s="4"/>
      <c r="M77" s="4"/>
      <c r="N77" s="4"/>
      <c r="O77" s="4"/>
      <c r="P77" s="4"/>
      <c r="Q77" s="4"/>
      <c r="R77" s="4"/>
      <c r="S77" s="4"/>
      <c r="T77" s="4"/>
      <c r="U77" s="4"/>
      <c r="V77" s="4"/>
      <c r="W77" s="4"/>
      <c r="X77" s="4"/>
      <c r="Y77" s="4"/>
      <c r="Z77" s="4"/>
    </row>
    <row r="78" customFormat="false" ht="15.75" hidden="false" customHeight="true" outlineLevel="0" collapsed="false">
      <c r="A78" s="4"/>
      <c r="B78" s="4"/>
      <c r="C78" s="4"/>
      <c r="D78" s="4"/>
      <c r="E78" s="31"/>
      <c r="F78" s="4"/>
      <c r="G78" s="4"/>
      <c r="H78" s="4"/>
      <c r="I78" s="4"/>
      <c r="J78" s="4"/>
      <c r="K78" s="4"/>
      <c r="L78" s="4"/>
      <c r="M78" s="4"/>
      <c r="N78" s="4"/>
      <c r="O78" s="4"/>
      <c r="P78" s="4"/>
      <c r="Q78" s="4"/>
      <c r="R78" s="4"/>
      <c r="S78" s="4"/>
      <c r="T78" s="4"/>
      <c r="U78" s="4"/>
      <c r="V78" s="4"/>
      <c r="W78" s="4"/>
      <c r="X78" s="4"/>
      <c r="Y78" s="4"/>
      <c r="Z78" s="4"/>
    </row>
    <row r="79" customFormat="false" ht="15.75" hidden="false" customHeight="true" outlineLevel="0" collapsed="false">
      <c r="A79" s="4"/>
      <c r="B79" s="4"/>
      <c r="C79" s="4"/>
      <c r="D79" s="4"/>
      <c r="E79" s="31"/>
      <c r="F79" s="4"/>
      <c r="G79" s="4"/>
      <c r="H79" s="4"/>
      <c r="I79" s="4"/>
      <c r="J79" s="4"/>
      <c r="K79" s="4"/>
      <c r="L79" s="4"/>
      <c r="M79" s="4"/>
      <c r="N79" s="4"/>
      <c r="O79" s="4"/>
      <c r="P79" s="4"/>
      <c r="Q79" s="4"/>
      <c r="R79" s="4"/>
      <c r="S79" s="4"/>
      <c r="T79" s="4"/>
      <c r="U79" s="4"/>
      <c r="V79" s="4"/>
      <c r="W79" s="4"/>
      <c r="X79" s="4"/>
      <c r="Y79" s="4"/>
      <c r="Z79" s="4"/>
    </row>
    <row r="80" customFormat="false" ht="15.75" hidden="false" customHeight="true" outlineLevel="0" collapsed="false">
      <c r="A80" s="4"/>
      <c r="B80" s="4"/>
      <c r="C80" s="4"/>
      <c r="D80" s="4"/>
      <c r="E80" s="31"/>
      <c r="F80" s="4"/>
      <c r="G80" s="4"/>
      <c r="H80" s="4"/>
      <c r="I80" s="4"/>
      <c r="J80" s="4"/>
      <c r="K80" s="4"/>
      <c r="L80" s="4"/>
      <c r="M80" s="4"/>
      <c r="N80" s="4"/>
      <c r="O80" s="4"/>
      <c r="P80" s="4"/>
      <c r="Q80" s="4"/>
      <c r="R80" s="4"/>
      <c r="S80" s="4"/>
      <c r="T80" s="4"/>
      <c r="U80" s="4"/>
      <c r="V80" s="4"/>
      <c r="W80" s="4"/>
      <c r="X80" s="4"/>
      <c r="Y80" s="4"/>
      <c r="Z80" s="4"/>
    </row>
    <row r="81" customFormat="false" ht="15.75" hidden="false" customHeight="true" outlineLevel="0" collapsed="false">
      <c r="A81" s="4"/>
      <c r="B81" s="4"/>
      <c r="C81" s="4"/>
      <c r="D81" s="4"/>
      <c r="E81" s="31"/>
      <c r="F81" s="4"/>
      <c r="G81" s="4"/>
      <c r="H81" s="4"/>
      <c r="I81" s="4"/>
      <c r="J81" s="4"/>
      <c r="K81" s="4"/>
      <c r="L81" s="4"/>
      <c r="M81" s="4"/>
      <c r="N81" s="4"/>
      <c r="O81" s="4"/>
      <c r="P81" s="4"/>
      <c r="Q81" s="4"/>
      <c r="R81" s="4"/>
      <c r="S81" s="4"/>
      <c r="T81" s="4"/>
      <c r="U81" s="4"/>
      <c r="V81" s="4"/>
      <c r="W81" s="4"/>
      <c r="X81" s="4"/>
      <c r="Y81" s="4"/>
      <c r="Z81" s="4"/>
    </row>
    <row r="82" customFormat="false" ht="15.75" hidden="false" customHeight="true" outlineLevel="0" collapsed="false">
      <c r="A82" s="4"/>
      <c r="B82" s="4"/>
      <c r="C82" s="4"/>
      <c r="D82" s="4"/>
      <c r="E82" s="31"/>
      <c r="F82" s="4"/>
      <c r="G82" s="4"/>
      <c r="H82" s="4"/>
      <c r="I82" s="4"/>
      <c r="J82" s="4"/>
      <c r="K82" s="4"/>
      <c r="L82" s="4"/>
      <c r="M82" s="4"/>
      <c r="N82" s="4"/>
      <c r="O82" s="4"/>
      <c r="P82" s="4"/>
      <c r="Q82" s="4"/>
      <c r="R82" s="4"/>
      <c r="S82" s="4"/>
      <c r="T82" s="4"/>
      <c r="U82" s="4"/>
      <c r="V82" s="4"/>
      <c r="W82" s="4"/>
      <c r="X82" s="4"/>
      <c r="Y82" s="4"/>
      <c r="Z82" s="4"/>
    </row>
    <row r="83" customFormat="false" ht="15.75" hidden="false" customHeight="true" outlineLevel="0" collapsed="false">
      <c r="A83" s="4"/>
      <c r="B83" s="4"/>
      <c r="C83" s="4"/>
      <c r="D83" s="4"/>
      <c r="E83" s="31"/>
      <c r="F83" s="4"/>
      <c r="G83" s="4"/>
      <c r="H83" s="4"/>
      <c r="I83" s="4"/>
      <c r="J83" s="4"/>
      <c r="K83" s="4"/>
      <c r="L83" s="4"/>
      <c r="M83" s="4"/>
      <c r="N83" s="4"/>
      <c r="O83" s="4"/>
      <c r="P83" s="4"/>
      <c r="Q83" s="4"/>
      <c r="R83" s="4"/>
      <c r="S83" s="4"/>
      <c r="T83" s="4"/>
      <c r="U83" s="4"/>
      <c r="V83" s="4"/>
      <c r="W83" s="4"/>
      <c r="X83" s="4"/>
      <c r="Y83" s="4"/>
      <c r="Z83" s="4"/>
    </row>
    <row r="84" customFormat="false" ht="15.75" hidden="false" customHeight="true" outlineLevel="0" collapsed="false">
      <c r="A84" s="4"/>
      <c r="B84" s="4"/>
      <c r="C84" s="4"/>
      <c r="D84" s="4"/>
      <c r="E84" s="31"/>
      <c r="F84" s="4"/>
      <c r="G84" s="4"/>
      <c r="H84" s="4"/>
      <c r="I84" s="4"/>
      <c r="J84" s="4"/>
      <c r="K84" s="4"/>
      <c r="L84" s="4"/>
      <c r="M84" s="4"/>
      <c r="N84" s="4"/>
      <c r="O84" s="4"/>
      <c r="P84" s="4"/>
      <c r="Q84" s="4"/>
      <c r="R84" s="4"/>
      <c r="S84" s="4"/>
      <c r="T84" s="4"/>
      <c r="U84" s="4"/>
      <c r="V84" s="4"/>
      <c r="W84" s="4"/>
      <c r="X84" s="4"/>
      <c r="Y84" s="4"/>
      <c r="Z84" s="4"/>
    </row>
    <row r="85" customFormat="false" ht="15.75" hidden="false" customHeight="true" outlineLevel="0" collapsed="false">
      <c r="A85" s="4"/>
      <c r="B85" s="4"/>
      <c r="C85" s="4"/>
      <c r="D85" s="4"/>
      <c r="E85" s="31"/>
      <c r="F85" s="4"/>
      <c r="G85" s="4"/>
      <c r="H85" s="4"/>
      <c r="I85" s="4"/>
      <c r="J85" s="4"/>
      <c r="K85" s="4"/>
      <c r="L85" s="4"/>
      <c r="M85" s="4"/>
      <c r="N85" s="4"/>
      <c r="O85" s="4"/>
      <c r="P85" s="4"/>
      <c r="Q85" s="4"/>
      <c r="R85" s="4"/>
      <c r="S85" s="4"/>
      <c r="T85" s="4"/>
      <c r="U85" s="4"/>
      <c r="V85" s="4"/>
      <c r="W85" s="4"/>
      <c r="X85" s="4"/>
      <c r="Y85" s="4"/>
      <c r="Z85" s="4"/>
    </row>
    <row r="86" customFormat="false" ht="15.75" hidden="false" customHeight="true" outlineLevel="0" collapsed="false">
      <c r="A86" s="4"/>
      <c r="B86" s="4"/>
      <c r="C86" s="4"/>
      <c r="D86" s="4"/>
      <c r="E86" s="31"/>
      <c r="F86" s="4"/>
      <c r="G86" s="4"/>
      <c r="H86" s="4"/>
      <c r="I86" s="4"/>
      <c r="J86" s="4"/>
      <c r="K86" s="4"/>
      <c r="L86" s="4"/>
      <c r="M86" s="4"/>
      <c r="N86" s="4"/>
      <c r="O86" s="4"/>
      <c r="P86" s="4"/>
      <c r="Q86" s="4"/>
      <c r="R86" s="4"/>
      <c r="S86" s="4"/>
      <c r="T86" s="4"/>
      <c r="U86" s="4"/>
      <c r="V86" s="4"/>
      <c r="W86" s="4"/>
      <c r="X86" s="4"/>
      <c r="Y86" s="4"/>
      <c r="Z86" s="4"/>
    </row>
    <row r="87" customFormat="false" ht="15.75" hidden="false" customHeight="true" outlineLevel="0" collapsed="false">
      <c r="A87" s="4"/>
      <c r="B87" s="4"/>
      <c r="C87" s="4"/>
      <c r="D87" s="4"/>
      <c r="E87" s="31"/>
      <c r="F87" s="4"/>
      <c r="G87" s="4"/>
      <c r="H87" s="4"/>
      <c r="I87" s="4"/>
      <c r="J87" s="4"/>
      <c r="K87" s="4"/>
      <c r="L87" s="4"/>
      <c r="M87" s="4"/>
      <c r="N87" s="4"/>
      <c r="O87" s="4"/>
      <c r="P87" s="4"/>
      <c r="Q87" s="4"/>
      <c r="R87" s="4"/>
      <c r="S87" s="4"/>
      <c r="T87" s="4"/>
      <c r="U87" s="4"/>
      <c r="V87" s="4"/>
      <c r="W87" s="4"/>
      <c r="X87" s="4"/>
      <c r="Y87" s="4"/>
      <c r="Z87" s="4"/>
    </row>
    <row r="88" customFormat="false" ht="15.75" hidden="false" customHeight="true" outlineLevel="0" collapsed="false">
      <c r="A88" s="4"/>
      <c r="B88" s="4"/>
      <c r="C88" s="4"/>
      <c r="D88" s="4"/>
      <c r="E88" s="31"/>
      <c r="F88" s="4"/>
      <c r="G88" s="4"/>
      <c r="H88" s="4"/>
      <c r="I88" s="4"/>
      <c r="J88" s="4"/>
      <c r="K88" s="4"/>
      <c r="L88" s="4"/>
      <c r="M88" s="4"/>
      <c r="N88" s="4"/>
      <c r="O88" s="4"/>
      <c r="P88" s="4"/>
      <c r="Q88" s="4"/>
      <c r="R88" s="4"/>
      <c r="S88" s="4"/>
      <c r="T88" s="4"/>
      <c r="U88" s="4"/>
      <c r="V88" s="4"/>
      <c r="W88" s="4"/>
      <c r="X88" s="4"/>
      <c r="Y88" s="4"/>
      <c r="Z88" s="4"/>
    </row>
    <row r="89" customFormat="false" ht="15.75" hidden="false" customHeight="true" outlineLevel="0" collapsed="false">
      <c r="A89" s="4"/>
      <c r="B89" s="4"/>
      <c r="C89" s="4"/>
      <c r="D89" s="4"/>
      <c r="E89" s="31"/>
      <c r="F89" s="4"/>
      <c r="G89" s="4"/>
      <c r="H89" s="4"/>
      <c r="I89" s="4"/>
      <c r="J89" s="4"/>
      <c r="K89" s="4"/>
      <c r="L89" s="4"/>
      <c r="M89" s="4"/>
      <c r="N89" s="4"/>
      <c r="O89" s="4"/>
      <c r="P89" s="4"/>
      <c r="Q89" s="4"/>
      <c r="R89" s="4"/>
      <c r="S89" s="4"/>
      <c r="T89" s="4"/>
      <c r="U89" s="4"/>
      <c r="V89" s="4"/>
      <c r="W89" s="4"/>
      <c r="X89" s="4"/>
      <c r="Y89" s="4"/>
      <c r="Z89" s="4"/>
    </row>
    <row r="90" customFormat="false" ht="15.75" hidden="false" customHeight="true" outlineLevel="0" collapsed="false">
      <c r="A90" s="4"/>
      <c r="B90" s="4"/>
      <c r="C90" s="4"/>
      <c r="D90" s="4"/>
      <c r="E90" s="31"/>
      <c r="F90" s="4"/>
      <c r="G90" s="4"/>
      <c r="H90" s="4"/>
      <c r="I90" s="4"/>
      <c r="J90" s="4"/>
      <c r="K90" s="4"/>
      <c r="L90" s="4"/>
      <c r="M90" s="4"/>
      <c r="N90" s="4"/>
      <c r="O90" s="4"/>
      <c r="P90" s="4"/>
      <c r="Q90" s="4"/>
      <c r="R90" s="4"/>
      <c r="S90" s="4"/>
      <c r="T90" s="4"/>
      <c r="U90" s="4"/>
      <c r="V90" s="4"/>
      <c r="W90" s="4"/>
      <c r="X90" s="4"/>
      <c r="Y90" s="4"/>
      <c r="Z90" s="4"/>
    </row>
    <row r="91" customFormat="false" ht="15.75" hidden="false" customHeight="true" outlineLevel="0" collapsed="false">
      <c r="A91" s="4"/>
      <c r="B91" s="4"/>
      <c r="C91" s="4"/>
      <c r="D91" s="4"/>
      <c r="E91" s="31"/>
      <c r="F91" s="4"/>
      <c r="G91" s="4"/>
      <c r="H91" s="4"/>
      <c r="I91" s="4"/>
      <c r="J91" s="4"/>
      <c r="K91" s="4"/>
      <c r="L91" s="4"/>
      <c r="M91" s="4"/>
      <c r="N91" s="4"/>
      <c r="O91" s="4"/>
      <c r="P91" s="4"/>
      <c r="Q91" s="4"/>
      <c r="R91" s="4"/>
      <c r="S91" s="4"/>
      <c r="T91" s="4"/>
      <c r="U91" s="4"/>
      <c r="V91" s="4"/>
      <c r="W91" s="4"/>
      <c r="X91" s="4"/>
      <c r="Y91" s="4"/>
      <c r="Z91" s="4"/>
    </row>
    <row r="92" customFormat="false" ht="15.75" hidden="false" customHeight="true" outlineLevel="0" collapsed="false">
      <c r="A92" s="4"/>
      <c r="B92" s="4"/>
      <c r="C92" s="4"/>
      <c r="D92" s="4"/>
      <c r="E92" s="31"/>
      <c r="F92" s="4"/>
      <c r="G92" s="4"/>
      <c r="H92" s="4"/>
      <c r="I92" s="4"/>
      <c r="J92" s="4"/>
      <c r="K92" s="4"/>
      <c r="L92" s="4"/>
      <c r="M92" s="4"/>
      <c r="N92" s="4"/>
      <c r="O92" s="4"/>
      <c r="P92" s="4"/>
      <c r="Q92" s="4"/>
      <c r="R92" s="4"/>
      <c r="S92" s="4"/>
      <c r="T92" s="4"/>
      <c r="U92" s="4"/>
      <c r="V92" s="4"/>
      <c r="W92" s="4"/>
      <c r="X92" s="4"/>
      <c r="Y92" s="4"/>
      <c r="Z92" s="4"/>
    </row>
    <row r="93" customFormat="false" ht="15.75" hidden="false" customHeight="true" outlineLevel="0" collapsed="false">
      <c r="A93" s="4"/>
      <c r="B93" s="4"/>
      <c r="C93" s="4"/>
      <c r="D93" s="4"/>
      <c r="E93" s="31"/>
      <c r="F93" s="4"/>
      <c r="G93" s="4"/>
      <c r="H93" s="4"/>
      <c r="I93" s="4"/>
      <c r="J93" s="4"/>
      <c r="K93" s="4"/>
      <c r="L93" s="4"/>
      <c r="M93" s="4"/>
      <c r="N93" s="4"/>
      <c r="O93" s="4"/>
      <c r="P93" s="4"/>
      <c r="Q93" s="4"/>
      <c r="R93" s="4"/>
      <c r="S93" s="4"/>
      <c r="T93" s="4"/>
      <c r="U93" s="4"/>
      <c r="V93" s="4"/>
      <c r="W93" s="4"/>
      <c r="X93" s="4"/>
      <c r="Y93" s="4"/>
      <c r="Z93" s="4"/>
    </row>
    <row r="94" customFormat="false" ht="15.75" hidden="false" customHeight="true" outlineLevel="0" collapsed="false">
      <c r="A94" s="4"/>
      <c r="B94" s="4"/>
      <c r="C94" s="4"/>
      <c r="D94" s="4"/>
      <c r="E94" s="31"/>
      <c r="F94" s="4"/>
      <c r="G94" s="4"/>
      <c r="H94" s="4"/>
      <c r="I94" s="4"/>
      <c r="J94" s="4"/>
      <c r="K94" s="4"/>
      <c r="L94" s="4"/>
      <c r="M94" s="4"/>
      <c r="N94" s="4"/>
      <c r="O94" s="4"/>
      <c r="P94" s="4"/>
      <c r="Q94" s="4"/>
      <c r="R94" s="4"/>
      <c r="S94" s="4"/>
      <c r="T94" s="4"/>
      <c r="U94" s="4"/>
      <c r="V94" s="4"/>
      <c r="W94" s="4"/>
      <c r="X94" s="4"/>
      <c r="Y94" s="4"/>
      <c r="Z94" s="4"/>
    </row>
    <row r="95" customFormat="false" ht="15.75" hidden="false" customHeight="true" outlineLevel="0" collapsed="false">
      <c r="A95" s="4"/>
      <c r="B95" s="4"/>
      <c r="C95" s="4"/>
      <c r="D95" s="4"/>
      <c r="E95" s="31"/>
      <c r="F95" s="4"/>
      <c r="G95" s="4"/>
      <c r="H95" s="4"/>
      <c r="I95" s="4"/>
      <c r="J95" s="4"/>
      <c r="K95" s="4"/>
      <c r="L95" s="4"/>
      <c r="M95" s="4"/>
      <c r="N95" s="4"/>
      <c r="O95" s="4"/>
      <c r="P95" s="4"/>
      <c r="Q95" s="4"/>
      <c r="R95" s="4"/>
      <c r="S95" s="4"/>
      <c r="T95" s="4"/>
      <c r="U95" s="4"/>
      <c r="V95" s="4"/>
      <c r="W95" s="4"/>
      <c r="X95" s="4"/>
      <c r="Y95" s="4"/>
      <c r="Z95" s="4"/>
    </row>
    <row r="96" customFormat="false" ht="15.75" hidden="false" customHeight="true" outlineLevel="0" collapsed="false">
      <c r="A96" s="4"/>
      <c r="B96" s="4"/>
      <c r="C96" s="4"/>
      <c r="D96" s="4"/>
      <c r="E96" s="31"/>
      <c r="F96" s="4"/>
      <c r="G96" s="4"/>
      <c r="H96" s="4"/>
      <c r="I96" s="4"/>
      <c r="J96" s="4"/>
      <c r="K96" s="4"/>
      <c r="L96" s="4"/>
      <c r="M96" s="4"/>
      <c r="N96" s="4"/>
      <c r="O96" s="4"/>
      <c r="P96" s="4"/>
      <c r="Q96" s="4"/>
      <c r="R96" s="4"/>
      <c r="S96" s="4"/>
      <c r="T96" s="4"/>
      <c r="U96" s="4"/>
      <c r="V96" s="4"/>
      <c r="W96" s="4"/>
      <c r="X96" s="4"/>
      <c r="Y96" s="4"/>
      <c r="Z96" s="4"/>
    </row>
    <row r="97" customFormat="false" ht="15.75" hidden="false" customHeight="true" outlineLevel="0" collapsed="false">
      <c r="A97" s="4"/>
      <c r="B97" s="4"/>
      <c r="C97" s="4"/>
      <c r="D97" s="4"/>
      <c r="E97" s="31"/>
      <c r="F97" s="4"/>
      <c r="G97" s="4"/>
      <c r="H97" s="4"/>
      <c r="I97" s="4"/>
      <c r="J97" s="4"/>
      <c r="K97" s="4"/>
      <c r="L97" s="4"/>
      <c r="M97" s="4"/>
      <c r="N97" s="4"/>
      <c r="O97" s="4"/>
      <c r="P97" s="4"/>
      <c r="Q97" s="4"/>
      <c r="R97" s="4"/>
      <c r="S97" s="4"/>
      <c r="T97" s="4"/>
      <c r="U97" s="4"/>
      <c r="V97" s="4"/>
      <c r="W97" s="4"/>
      <c r="X97" s="4"/>
      <c r="Y97" s="4"/>
      <c r="Z97" s="4"/>
    </row>
    <row r="98" customFormat="false" ht="15.75" hidden="false" customHeight="true" outlineLevel="0" collapsed="false">
      <c r="A98" s="4"/>
      <c r="B98" s="4"/>
      <c r="C98" s="4"/>
      <c r="D98" s="4"/>
      <c r="E98" s="31"/>
      <c r="F98" s="4"/>
      <c r="G98" s="4"/>
      <c r="H98" s="4"/>
      <c r="I98" s="4"/>
      <c r="J98" s="4"/>
      <c r="K98" s="4"/>
      <c r="L98" s="4"/>
      <c r="M98" s="4"/>
      <c r="N98" s="4"/>
      <c r="O98" s="4"/>
      <c r="P98" s="4"/>
      <c r="Q98" s="4"/>
      <c r="R98" s="4"/>
      <c r="S98" s="4"/>
      <c r="T98" s="4"/>
      <c r="U98" s="4"/>
      <c r="V98" s="4"/>
      <c r="W98" s="4"/>
      <c r="X98" s="4"/>
      <c r="Y98" s="4"/>
      <c r="Z98" s="4"/>
    </row>
    <row r="99" customFormat="false" ht="15.75" hidden="false" customHeight="true" outlineLevel="0" collapsed="false">
      <c r="A99" s="4"/>
      <c r="B99" s="4"/>
      <c r="C99" s="4"/>
      <c r="D99" s="4"/>
      <c r="E99" s="31"/>
      <c r="F99" s="4"/>
      <c r="G99" s="4"/>
      <c r="H99" s="4"/>
      <c r="I99" s="4"/>
      <c r="J99" s="4"/>
      <c r="K99" s="4"/>
      <c r="L99" s="4"/>
      <c r="M99" s="4"/>
      <c r="N99" s="4"/>
      <c r="O99" s="4"/>
      <c r="P99" s="4"/>
      <c r="Q99" s="4"/>
      <c r="R99" s="4"/>
      <c r="S99" s="4"/>
      <c r="T99" s="4"/>
      <c r="U99" s="4"/>
      <c r="V99" s="4"/>
      <c r="W99" s="4"/>
      <c r="X99" s="4"/>
      <c r="Y99" s="4"/>
      <c r="Z99" s="4"/>
    </row>
    <row r="100" customFormat="false" ht="15.75" hidden="false" customHeight="true" outlineLevel="0" collapsed="false">
      <c r="A100" s="4"/>
      <c r="B100" s="4"/>
      <c r="C100" s="4"/>
      <c r="D100" s="4"/>
      <c r="E100" s="31"/>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true" outlineLevel="0" collapsed="false">
      <c r="A101" s="4"/>
      <c r="B101" s="4"/>
      <c r="C101" s="4"/>
      <c r="D101" s="4"/>
      <c r="E101" s="31"/>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true" outlineLevel="0" collapsed="false">
      <c r="A102" s="4"/>
      <c r="B102" s="4"/>
      <c r="C102" s="4"/>
      <c r="D102" s="4"/>
      <c r="E102" s="31"/>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true" outlineLevel="0" collapsed="false">
      <c r="A103" s="4"/>
      <c r="B103" s="4"/>
      <c r="C103" s="4"/>
      <c r="D103" s="4"/>
      <c r="E103" s="31"/>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true" outlineLevel="0" collapsed="false">
      <c r="A104" s="4"/>
      <c r="B104" s="4"/>
      <c r="C104" s="4"/>
      <c r="D104" s="4"/>
      <c r="E104" s="31"/>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true" outlineLevel="0" collapsed="false">
      <c r="A105" s="4"/>
      <c r="B105" s="4"/>
      <c r="C105" s="4"/>
      <c r="D105" s="4"/>
      <c r="E105" s="31"/>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true" outlineLevel="0" collapsed="false">
      <c r="A106" s="4"/>
      <c r="B106" s="4"/>
      <c r="C106" s="4"/>
      <c r="D106" s="4"/>
      <c r="E106" s="31"/>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true" outlineLevel="0" collapsed="false">
      <c r="A107" s="4"/>
      <c r="B107" s="4"/>
      <c r="C107" s="4"/>
      <c r="D107" s="4"/>
      <c r="E107" s="31"/>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true" outlineLevel="0" collapsed="false">
      <c r="A108" s="4"/>
      <c r="B108" s="4"/>
      <c r="C108" s="4"/>
      <c r="D108" s="4"/>
      <c r="E108" s="31"/>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true" outlineLevel="0" collapsed="false">
      <c r="A109" s="4"/>
      <c r="B109" s="4"/>
      <c r="C109" s="4"/>
      <c r="D109" s="4"/>
      <c r="E109" s="31"/>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true" outlineLevel="0" collapsed="false">
      <c r="A110" s="4"/>
      <c r="B110" s="4"/>
      <c r="C110" s="4"/>
      <c r="D110" s="4"/>
      <c r="E110" s="31"/>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true" outlineLevel="0" collapsed="false">
      <c r="A111" s="4"/>
      <c r="B111" s="4"/>
      <c r="C111" s="4"/>
      <c r="D111" s="4"/>
      <c r="E111" s="31"/>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true" outlineLevel="0" collapsed="false">
      <c r="A112" s="4"/>
      <c r="B112" s="4"/>
      <c r="C112" s="4"/>
      <c r="D112" s="4"/>
      <c r="E112" s="31"/>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true" outlineLevel="0" collapsed="false">
      <c r="A113" s="4"/>
      <c r="B113" s="4"/>
      <c r="C113" s="4"/>
      <c r="D113" s="4"/>
      <c r="E113" s="31"/>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true" outlineLevel="0" collapsed="false">
      <c r="A114" s="4"/>
      <c r="B114" s="4"/>
      <c r="C114" s="4"/>
      <c r="D114" s="4"/>
      <c r="E114" s="31"/>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true" outlineLevel="0" collapsed="false">
      <c r="A115" s="4"/>
      <c r="B115" s="4"/>
      <c r="C115" s="4"/>
      <c r="D115" s="4"/>
      <c r="E115" s="31"/>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true" outlineLevel="0" collapsed="false">
      <c r="A116" s="4"/>
      <c r="B116" s="4"/>
      <c r="C116" s="4"/>
      <c r="D116" s="4"/>
      <c r="E116" s="31"/>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true" outlineLevel="0" collapsed="false">
      <c r="A117" s="4"/>
      <c r="B117" s="4"/>
      <c r="C117" s="4"/>
      <c r="D117" s="4"/>
      <c r="E117" s="31"/>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true" outlineLevel="0" collapsed="false">
      <c r="A118" s="4"/>
      <c r="B118" s="4"/>
      <c r="C118" s="4"/>
      <c r="D118" s="4"/>
      <c r="E118" s="31"/>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true" outlineLevel="0" collapsed="false">
      <c r="A119" s="4"/>
      <c r="B119" s="4"/>
      <c r="C119" s="4"/>
      <c r="D119" s="4"/>
      <c r="E119" s="31"/>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true" outlineLevel="0" collapsed="false">
      <c r="A120" s="4"/>
      <c r="B120" s="4"/>
      <c r="C120" s="4"/>
      <c r="D120" s="4"/>
      <c r="E120" s="31"/>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true" outlineLevel="0" collapsed="false">
      <c r="A121" s="4"/>
      <c r="B121" s="4"/>
      <c r="C121" s="4"/>
      <c r="D121" s="4"/>
      <c r="E121" s="31"/>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true" outlineLevel="0" collapsed="false">
      <c r="A122" s="4"/>
      <c r="B122" s="4"/>
      <c r="C122" s="4"/>
      <c r="D122" s="4"/>
      <c r="E122" s="31"/>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true" outlineLevel="0" collapsed="false">
      <c r="A123" s="4"/>
      <c r="B123" s="4"/>
      <c r="C123" s="4"/>
      <c r="D123" s="4"/>
      <c r="E123" s="31"/>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true" outlineLevel="0" collapsed="false">
      <c r="A124" s="4"/>
      <c r="B124" s="4"/>
      <c r="C124" s="4"/>
      <c r="D124" s="4"/>
      <c r="E124" s="31"/>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true" outlineLevel="0" collapsed="false">
      <c r="A125" s="4"/>
      <c r="B125" s="4"/>
      <c r="C125" s="4"/>
      <c r="D125" s="4"/>
      <c r="E125" s="31"/>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true" outlineLevel="0" collapsed="false">
      <c r="A126" s="4"/>
      <c r="B126" s="4"/>
      <c r="C126" s="4"/>
      <c r="D126" s="4"/>
      <c r="E126" s="31"/>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true" outlineLevel="0" collapsed="false">
      <c r="A127" s="4"/>
      <c r="B127" s="4"/>
      <c r="C127" s="4"/>
      <c r="D127" s="4"/>
      <c r="E127" s="31"/>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true" outlineLevel="0" collapsed="false">
      <c r="A128" s="4"/>
      <c r="B128" s="4"/>
      <c r="C128" s="4"/>
      <c r="D128" s="4"/>
      <c r="E128" s="31"/>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true" outlineLevel="0" collapsed="false">
      <c r="A129" s="4"/>
      <c r="B129" s="4"/>
      <c r="C129" s="4"/>
      <c r="D129" s="4"/>
      <c r="E129" s="31"/>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true" outlineLevel="0" collapsed="false">
      <c r="A130" s="4"/>
      <c r="B130" s="4"/>
      <c r="C130" s="4"/>
      <c r="D130" s="4"/>
      <c r="E130" s="31"/>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true" outlineLevel="0" collapsed="false">
      <c r="A131" s="4"/>
      <c r="B131" s="4"/>
      <c r="C131" s="4"/>
      <c r="D131" s="4"/>
      <c r="E131" s="31"/>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true" outlineLevel="0" collapsed="false">
      <c r="A132" s="4"/>
      <c r="B132" s="4"/>
      <c r="C132" s="4"/>
      <c r="D132" s="4"/>
      <c r="E132" s="31"/>
      <c r="F132" s="4"/>
      <c r="G132" s="4"/>
      <c r="H132" s="4"/>
      <c r="I132" s="4"/>
      <c r="J132" s="4"/>
      <c r="K132" s="4"/>
      <c r="L132" s="4"/>
      <c r="M132" s="4"/>
      <c r="N132" s="4"/>
      <c r="O132" s="4"/>
      <c r="P132" s="4"/>
      <c r="Q132" s="4"/>
      <c r="R132" s="4"/>
      <c r="S132" s="4"/>
      <c r="T132" s="4"/>
      <c r="U132" s="4"/>
      <c r="V132" s="4"/>
      <c r="W132" s="4"/>
      <c r="X132" s="4"/>
      <c r="Y132" s="4"/>
      <c r="Z132" s="4"/>
    </row>
    <row r="133" customFormat="false" ht="15.75" hidden="false" customHeight="true" outlineLevel="0" collapsed="false">
      <c r="A133" s="4"/>
      <c r="B133" s="4"/>
      <c r="C133" s="4"/>
      <c r="D133" s="4"/>
      <c r="E133" s="31"/>
      <c r="F133" s="4"/>
      <c r="G133" s="4"/>
      <c r="H133" s="4"/>
      <c r="I133" s="4"/>
      <c r="J133" s="4"/>
      <c r="K133" s="4"/>
      <c r="L133" s="4"/>
      <c r="M133" s="4"/>
      <c r="N133" s="4"/>
      <c r="O133" s="4"/>
      <c r="P133" s="4"/>
      <c r="Q133" s="4"/>
      <c r="R133" s="4"/>
      <c r="S133" s="4"/>
      <c r="T133" s="4"/>
      <c r="U133" s="4"/>
      <c r="V133" s="4"/>
      <c r="W133" s="4"/>
      <c r="X133" s="4"/>
      <c r="Y133" s="4"/>
      <c r="Z133" s="4"/>
    </row>
    <row r="134" customFormat="false" ht="15.75" hidden="false" customHeight="true" outlineLevel="0" collapsed="false">
      <c r="A134" s="4"/>
      <c r="B134" s="4"/>
      <c r="C134" s="4"/>
      <c r="D134" s="4"/>
      <c r="E134" s="31"/>
      <c r="F134" s="4"/>
      <c r="G134" s="4"/>
      <c r="H134" s="4"/>
      <c r="I134" s="4"/>
      <c r="J134" s="4"/>
      <c r="K134" s="4"/>
      <c r="L134" s="4"/>
      <c r="M134" s="4"/>
      <c r="N134" s="4"/>
      <c r="O134" s="4"/>
      <c r="P134" s="4"/>
      <c r="Q134" s="4"/>
      <c r="R134" s="4"/>
      <c r="S134" s="4"/>
      <c r="T134" s="4"/>
      <c r="U134" s="4"/>
      <c r="V134" s="4"/>
      <c r="W134" s="4"/>
      <c r="X134" s="4"/>
      <c r="Y134" s="4"/>
      <c r="Z134" s="4"/>
    </row>
    <row r="135" customFormat="false" ht="15.75" hidden="false" customHeight="true" outlineLevel="0" collapsed="false">
      <c r="A135" s="4"/>
      <c r="B135" s="4"/>
      <c r="C135" s="4"/>
      <c r="D135" s="4"/>
      <c r="E135" s="31"/>
      <c r="F135" s="4"/>
      <c r="G135" s="4"/>
      <c r="H135" s="4"/>
      <c r="I135" s="4"/>
      <c r="J135" s="4"/>
      <c r="K135" s="4"/>
      <c r="L135" s="4"/>
      <c r="M135" s="4"/>
      <c r="N135" s="4"/>
      <c r="O135" s="4"/>
      <c r="P135" s="4"/>
      <c r="Q135" s="4"/>
      <c r="R135" s="4"/>
      <c r="S135" s="4"/>
      <c r="T135" s="4"/>
      <c r="U135" s="4"/>
      <c r="V135" s="4"/>
      <c r="W135" s="4"/>
      <c r="X135" s="4"/>
      <c r="Y135" s="4"/>
      <c r="Z135" s="4"/>
    </row>
    <row r="136" customFormat="false" ht="15.75" hidden="false" customHeight="true" outlineLevel="0" collapsed="false">
      <c r="A136" s="4"/>
      <c r="B136" s="4"/>
      <c r="C136" s="4"/>
      <c r="D136" s="4"/>
      <c r="E136" s="31"/>
      <c r="F136" s="4"/>
      <c r="G136" s="4"/>
      <c r="H136" s="4"/>
      <c r="I136" s="4"/>
      <c r="J136" s="4"/>
      <c r="K136" s="4"/>
      <c r="L136" s="4"/>
      <c r="M136" s="4"/>
      <c r="N136" s="4"/>
      <c r="O136" s="4"/>
      <c r="P136" s="4"/>
      <c r="Q136" s="4"/>
      <c r="R136" s="4"/>
      <c r="S136" s="4"/>
      <c r="T136" s="4"/>
      <c r="U136" s="4"/>
      <c r="V136" s="4"/>
      <c r="W136" s="4"/>
      <c r="X136" s="4"/>
      <c r="Y136" s="4"/>
      <c r="Z136" s="4"/>
    </row>
    <row r="137" customFormat="false" ht="15.75" hidden="false" customHeight="true" outlineLevel="0" collapsed="false">
      <c r="A137" s="4"/>
      <c r="B137" s="4"/>
      <c r="C137" s="4"/>
      <c r="D137" s="4"/>
      <c r="E137" s="31"/>
      <c r="F137" s="4"/>
      <c r="G137" s="4"/>
      <c r="H137" s="4"/>
      <c r="I137" s="4"/>
      <c r="J137" s="4"/>
      <c r="K137" s="4"/>
      <c r="L137" s="4"/>
      <c r="M137" s="4"/>
      <c r="N137" s="4"/>
      <c r="O137" s="4"/>
      <c r="P137" s="4"/>
      <c r="Q137" s="4"/>
      <c r="R137" s="4"/>
      <c r="S137" s="4"/>
      <c r="T137" s="4"/>
      <c r="U137" s="4"/>
      <c r="V137" s="4"/>
      <c r="W137" s="4"/>
      <c r="X137" s="4"/>
      <c r="Y137" s="4"/>
      <c r="Z137" s="4"/>
    </row>
    <row r="138" customFormat="false" ht="15.75" hidden="false" customHeight="true" outlineLevel="0" collapsed="false">
      <c r="A138" s="4"/>
      <c r="B138" s="4"/>
      <c r="C138" s="4"/>
      <c r="D138" s="4"/>
      <c r="E138" s="31"/>
      <c r="F138" s="4"/>
      <c r="G138" s="4"/>
      <c r="H138" s="4"/>
      <c r="I138" s="4"/>
      <c r="J138" s="4"/>
      <c r="K138" s="4"/>
      <c r="L138" s="4"/>
      <c r="M138" s="4"/>
      <c r="N138" s="4"/>
      <c r="O138" s="4"/>
      <c r="P138" s="4"/>
      <c r="Q138" s="4"/>
      <c r="R138" s="4"/>
      <c r="S138" s="4"/>
      <c r="T138" s="4"/>
      <c r="U138" s="4"/>
      <c r="V138" s="4"/>
      <c r="W138" s="4"/>
      <c r="X138" s="4"/>
      <c r="Y138" s="4"/>
      <c r="Z138" s="4"/>
    </row>
    <row r="139" customFormat="false" ht="15.75" hidden="false" customHeight="true" outlineLevel="0" collapsed="false">
      <c r="A139" s="4"/>
      <c r="B139" s="4"/>
      <c r="C139" s="4"/>
      <c r="D139" s="4"/>
      <c r="E139" s="31"/>
      <c r="F139" s="4"/>
      <c r="G139" s="4"/>
      <c r="H139" s="4"/>
      <c r="I139" s="4"/>
      <c r="J139" s="4"/>
      <c r="K139" s="4"/>
      <c r="L139" s="4"/>
      <c r="M139" s="4"/>
      <c r="N139" s="4"/>
      <c r="O139" s="4"/>
      <c r="P139" s="4"/>
      <c r="Q139" s="4"/>
      <c r="R139" s="4"/>
      <c r="S139" s="4"/>
      <c r="T139" s="4"/>
      <c r="U139" s="4"/>
      <c r="V139" s="4"/>
      <c r="W139" s="4"/>
      <c r="X139" s="4"/>
      <c r="Y139" s="4"/>
      <c r="Z139" s="4"/>
    </row>
    <row r="140" customFormat="false" ht="15.75" hidden="false" customHeight="true" outlineLevel="0" collapsed="false">
      <c r="A140" s="4"/>
      <c r="B140" s="4"/>
      <c r="C140" s="4"/>
      <c r="D140" s="4"/>
      <c r="E140" s="31"/>
      <c r="F140" s="4"/>
      <c r="G140" s="4"/>
      <c r="H140" s="4"/>
      <c r="I140" s="4"/>
      <c r="J140" s="4"/>
      <c r="K140" s="4"/>
      <c r="L140" s="4"/>
      <c r="M140" s="4"/>
      <c r="N140" s="4"/>
      <c r="O140" s="4"/>
      <c r="P140" s="4"/>
      <c r="Q140" s="4"/>
      <c r="R140" s="4"/>
      <c r="S140" s="4"/>
      <c r="T140" s="4"/>
      <c r="U140" s="4"/>
      <c r="V140" s="4"/>
      <c r="W140" s="4"/>
      <c r="X140" s="4"/>
      <c r="Y140" s="4"/>
      <c r="Z140" s="4"/>
    </row>
    <row r="141" customFormat="false" ht="15.75" hidden="false" customHeight="true" outlineLevel="0" collapsed="false">
      <c r="A141" s="4"/>
      <c r="B141" s="4"/>
      <c r="C141" s="4"/>
      <c r="D141" s="4"/>
      <c r="E141" s="31"/>
      <c r="F141" s="4"/>
      <c r="G141" s="4"/>
      <c r="H141" s="4"/>
      <c r="I141" s="4"/>
      <c r="J141" s="4"/>
      <c r="K141" s="4"/>
      <c r="L141" s="4"/>
      <c r="M141" s="4"/>
      <c r="N141" s="4"/>
      <c r="O141" s="4"/>
      <c r="P141" s="4"/>
      <c r="Q141" s="4"/>
      <c r="R141" s="4"/>
      <c r="S141" s="4"/>
      <c r="T141" s="4"/>
      <c r="U141" s="4"/>
      <c r="V141" s="4"/>
      <c r="W141" s="4"/>
      <c r="X141" s="4"/>
      <c r="Y141" s="4"/>
      <c r="Z141" s="4"/>
    </row>
    <row r="142" customFormat="false" ht="15.75" hidden="false" customHeight="true" outlineLevel="0" collapsed="false">
      <c r="A142" s="4"/>
      <c r="B142" s="4"/>
      <c r="C142" s="4"/>
      <c r="D142" s="4"/>
      <c r="E142" s="31"/>
      <c r="F142" s="4"/>
      <c r="G142" s="4"/>
      <c r="H142" s="4"/>
      <c r="I142" s="4"/>
      <c r="J142" s="4"/>
      <c r="K142" s="4"/>
      <c r="L142" s="4"/>
      <c r="M142" s="4"/>
      <c r="N142" s="4"/>
      <c r="O142" s="4"/>
      <c r="P142" s="4"/>
      <c r="Q142" s="4"/>
      <c r="R142" s="4"/>
      <c r="S142" s="4"/>
      <c r="T142" s="4"/>
      <c r="U142" s="4"/>
      <c r="V142" s="4"/>
      <c r="W142" s="4"/>
      <c r="X142" s="4"/>
      <c r="Y142" s="4"/>
      <c r="Z142" s="4"/>
    </row>
    <row r="143" customFormat="false" ht="15.75" hidden="false" customHeight="true" outlineLevel="0" collapsed="false">
      <c r="A143" s="4"/>
      <c r="B143" s="4"/>
      <c r="C143" s="4"/>
      <c r="D143" s="4"/>
      <c r="E143" s="31"/>
      <c r="F143" s="4"/>
      <c r="G143" s="4"/>
      <c r="H143" s="4"/>
      <c r="I143" s="4"/>
      <c r="J143" s="4"/>
      <c r="K143" s="4"/>
      <c r="L143" s="4"/>
      <c r="M143" s="4"/>
      <c r="N143" s="4"/>
      <c r="O143" s="4"/>
      <c r="P143" s="4"/>
      <c r="Q143" s="4"/>
      <c r="R143" s="4"/>
      <c r="S143" s="4"/>
      <c r="T143" s="4"/>
      <c r="U143" s="4"/>
      <c r="V143" s="4"/>
      <c r="W143" s="4"/>
      <c r="X143" s="4"/>
      <c r="Y143" s="4"/>
      <c r="Z143" s="4"/>
    </row>
    <row r="144" customFormat="false" ht="15.75" hidden="false" customHeight="true" outlineLevel="0" collapsed="false">
      <c r="A144" s="4"/>
      <c r="B144" s="4"/>
      <c r="C144" s="4"/>
      <c r="D144" s="4"/>
      <c r="E144" s="31"/>
      <c r="F144" s="4"/>
      <c r="G144" s="4"/>
      <c r="H144" s="4"/>
      <c r="I144" s="4"/>
      <c r="J144" s="4"/>
      <c r="K144" s="4"/>
      <c r="L144" s="4"/>
      <c r="M144" s="4"/>
      <c r="N144" s="4"/>
      <c r="O144" s="4"/>
      <c r="P144" s="4"/>
      <c r="Q144" s="4"/>
      <c r="R144" s="4"/>
      <c r="S144" s="4"/>
      <c r="T144" s="4"/>
      <c r="U144" s="4"/>
      <c r="V144" s="4"/>
      <c r="W144" s="4"/>
      <c r="X144" s="4"/>
      <c r="Y144" s="4"/>
      <c r="Z144" s="4"/>
    </row>
    <row r="145" customFormat="false" ht="15.75" hidden="false" customHeight="true" outlineLevel="0" collapsed="false">
      <c r="A145" s="4"/>
      <c r="B145" s="4"/>
      <c r="C145" s="4"/>
      <c r="D145" s="4"/>
      <c r="E145" s="31"/>
      <c r="F145" s="4"/>
      <c r="G145" s="4"/>
      <c r="H145" s="4"/>
      <c r="I145" s="4"/>
      <c r="J145" s="4"/>
      <c r="K145" s="4"/>
      <c r="L145" s="4"/>
      <c r="M145" s="4"/>
      <c r="N145" s="4"/>
      <c r="O145" s="4"/>
      <c r="P145" s="4"/>
      <c r="Q145" s="4"/>
      <c r="R145" s="4"/>
      <c r="S145" s="4"/>
      <c r="T145" s="4"/>
      <c r="U145" s="4"/>
      <c r="V145" s="4"/>
      <c r="W145" s="4"/>
      <c r="X145" s="4"/>
      <c r="Y145" s="4"/>
      <c r="Z145" s="4"/>
    </row>
    <row r="146" customFormat="false" ht="15.75" hidden="false" customHeight="true" outlineLevel="0" collapsed="false">
      <c r="A146" s="4"/>
      <c r="B146" s="4"/>
      <c r="C146" s="4"/>
      <c r="D146" s="4"/>
      <c r="E146" s="31"/>
      <c r="F146" s="4"/>
      <c r="G146" s="4"/>
      <c r="H146" s="4"/>
      <c r="I146" s="4"/>
      <c r="J146" s="4"/>
      <c r="K146" s="4"/>
      <c r="L146" s="4"/>
      <c r="M146" s="4"/>
      <c r="N146" s="4"/>
      <c r="O146" s="4"/>
      <c r="P146" s="4"/>
      <c r="Q146" s="4"/>
      <c r="R146" s="4"/>
      <c r="S146" s="4"/>
      <c r="T146" s="4"/>
      <c r="U146" s="4"/>
      <c r="V146" s="4"/>
      <c r="W146" s="4"/>
      <c r="X146" s="4"/>
      <c r="Y146" s="4"/>
      <c r="Z146" s="4"/>
    </row>
    <row r="147" customFormat="false" ht="15.75" hidden="false" customHeight="true" outlineLevel="0" collapsed="false">
      <c r="A147" s="4"/>
      <c r="B147" s="4"/>
      <c r="C147" s="4"/>
      <c r="D147" s="4"/>
      <c r="E147" s="31"/>
      <c r="F147" s="4"/>
      <c r="G147" s="4"/>
      <c r="H147" s="4"/>
      <c r="I147" s="4"/>
      <c r="J147" s="4"/>
      <c r="K147" s="4"/>
      <c r="L147" s="4"/>
      <c r="M147" s="4"/>
      <c r="N147" s="4"/>
      <c r="O147" s="4"/>
      <c r="P147" s="4"/>
      <c r="Q147" s="4"/>
      <c r="R147" s="4"/>
      <c r="S147" s="4"/>
      <c r="T147" s="4"/>
      <c r="U147" s="4"/>
      <c r="V147" s="4"/>
      <c r="W147" s="4"/>
      <c r="X147" s="4"/>
      <c r="Y147" s="4"/>
      <c r="Z147" s="4"/>
    </row>
    <row r="148" customFormat="false" ht="15.75" hidden="false" customHeight="true" outlineLevel="0" collapsed="false">
      <c r="A148" s="4"/>
      <c r="B148" s="4"/>
      <c r="C148" s="4"/>
      <c r="D148" s="4"/>
      <c r="E148" s="31"/>
      <c r="F148" s="4"/>
      <c r="G148" s="4"/>
      <c r="H148" s="4"/>
      <c r="I148" s="4"/>
      <c r="J148" s="4"/>
      <c r="K148" s="4"/>
      <c r="L148" s="4"/>
      <c r="M148" s="4"/>
      <c r="N148" s="4"/>
      <c r="O148" s="4"/>
      <c r="P148" s="4"/>
      <c r="Q148" s="4"/>
      <c r="R148" s="4"/>
      <c r="S148" s="4"/>
      <c r="T148" s="4"/>
      <c r="U148" s="4"/>
      <c r="V148" s="4"/>
      <c r="W148" s="4"/>
      <c r="X148" s="4"/>
      <c r="Y148" s="4"/>
      <c r="Z148" s="4"/>
    </row>
    <row r="149" customFormat="false" ht="15.75" hidden="false" customHeight="true" outlineLevel="0" collapsed="false">
      <c r="A149" s="4"/>
      <c r="B149" s="4"/>
      <c r="C149" s="4"/>
      <c r="D149" s="4"/>
      <c r="E149" s="31"/>
      <c r="F149" s="4"/>
      <c r="G149" s="4"/>
      <c r="H149" s="4"/>
      <c r="I149" s="4"/>
      <c r="J149" s="4"/>
      <c r="K149" s="4"/>
      <c r="L149" s="4"/>
      <c r="M149" s="4"/>
      <c r="N149" s="4"/>
      <c r="O149" s="4"/>
      <c r="P149" s="4"/>
      <c r="Q149" s="4"/>
      <c r="R149" s="4"/>
      <c r="S149" s="4"/>
      <c r="T149" s="4"/>
      <c r="U149" s="4"/>
      <c r="V149" s="4"/>
      <c r="W149" s="4"/>
      <c r="X149" s="4"/>
      <c r="Y149" s="4"/>
      <c r="Z149" s="4"/>
    </row>
    <row r="150" customFormat="false" ht="15.75" hidden="false" customHeight="true" outlineLevel="0" collapsed="false">
      <c r="A150" s="4"/>
      <c r="B150" s="4"/>
      <c r="C150" s="4"/>
      <c r="D150" s="4"/>
      <c r="E150" s="31"/>
      <c r="F150" s="4"/>
      <c r="G150" s="4"/>
      <c r="H150" s="4"/>
      <c r="I150" s="4"/>
      <c r="J150" s="4"/>
      <c r="K150" s="4"/>
      <c r="L150" s="4"/>
      <c r="M150" s="4"/>
      <c r="N150" s="4"/>
      <c r="O150" s="4"/>
      <c r="P150" s="4"/>
      <c r="Q150" s="4"/>
      <c r="R150" s="4"/>
      <c r="S150" s="4"/>
      <c r="T150" s="4"/>
      <c r="U150" s="4"/>
      <c r="V150" s="4"/>
      <c r="W150" s="4"/>
      <c r="X150" s="4"/>
      <c r="Y150" s="4"/>
      <c r="Z150" s="4"/>
    </row>
    <row r="151" customFormat="false" ht="15.75" hidden="false" customHeight="true" outlineLevel="0" collapsed="false">
      <c r="A151" s="4"/>
      <c r="B151" s="4"/>
      <c r="C151" s="4"/>
      <c r="D151" s="4"/>
      <c r="E151" s="31"/>
      <c r="F151" s="4"/>
      <c r="G151" s="4"/>
      <c r="H151" s="4"/>
      <c r="I151" s="4"/>
      <c r="J151" s="4"/>
      <c r="K151" s="4"/>
      <c r="L151" s="4"/>
      <c r="M151" s="4"/>
      <c r="N151" s="4"/>
      <c r="O151" s="4"/>
      <c r="P151" s="4"/>
      <c r="Q151" s="4"/>
      <c r="R151" s="4"/>
      <c r="S151" s="4"/>
      <c r="T151" s="4"/>
      <c r="U151" s="4"/>
      <c r="V151" s="4"/>
      <c r="W151" s="4"/>
      <c r="X151" s="4"/>
      <c r="Y151" s="4"/>
      <c r="Z151" s="4"/>
    </row>
    <row r="152" customFormat="false" ht="15.75" hidden="false" customHeight="true" outlineLevel="0" collapsed="false">
      <c r="A152" s="4"/>
      <c r="B152" s="4"/>
      <c r="C152" s="4"/>
      <c r="D152" s="4"/>
      <c r="E152" s="31"/>
      <c r="F152" s="4"/>
      <c r="G152" s="4"/>
      <c r="H152" s="4"/>
      <c r="I152" s="4"/>
      <c r="J152" s="4"/>
      <c r="K152" s="4"/>
      <c r="L152" s="4"/>
      <c r="M152" s="4"/>
      <c r="N152" s="4"/>
      <c r="O152" s="4"/>
      <c r="P152" s="4"/>
      <c r="Q152" s="4"/>
      <c r="R152" s="4"/>
      <c r="S152" s="4"/>
      <c r="T152" s="4"/>
      <c r="U152" s="4"/>
      <c r="V152" s="4"/>
      <c r="W152" s="4"/>
      <c r="X152" s="4"/>
      <c r="Y152" s="4"/>
      <c r="Z152" s="4"/>
    </row>
    <row r="153" customFormat="false" ht="15.75" hidden="false" customHeight="true" outlineLevel="0" collapsed="false">
      <c r="A153" s="4"/>
      <c r="B153" s="4"/>
      <c r="C153" s="4"/>
      <c r="D153" s="4"/>
      <c r="E153" s="31"/>
      <c r="F153" s="4"/>
      <c r="G153" s="4"/>
      <c r="H153" s="4"/>
      <c r="I153" s="4"/>
      <c r="J153" s="4"/>
      <c r="K153" s="4"/>
      <c r="L153" s="4"/>
      <c r="M153" s="4"/>
      <c r="N153" s="4"/>
      <c r="O153" s="4"/>
      <c r="P153" s="4"/>
      <c r="Q153" s="4"/>
      <c r="R153" s="4"/>
      <c r="S153" s="4"/>
      <c r="T153" s="4"/>
      <c r="U153" s="4"/>
      <c r="V153" s="4"/>
      <c r="W153" s="4"/>
      <c r="X153" s="4"/>
      <c r="Y153" s="4"/>
      <c r="Z153" s="4"/>
    </row>
    <row r="154" customFormat="false" ht="15.75" hidden="false" customHeight="true" outlineLevel="0" collapsed="false">
      <c r="A154" s="4"/>
      <c r="B154" s="4"/>
      <c r="C154" s="4"/>
      <c r="D154" s="4"/>
      <c r="E154" s="31"/>
      <c r="F154" s="4"/>
      <c r="G154" s="4"/>
      <c r="H154" s="4"/>
      <c r="I154" s="4"/>
      <c r="J154" s="4"/>
      <c r="K154" s="4"/>
      <c r="L154" s="4"/>
      <c r="M154" s="4"/>
      <c r="N154" s="4"/>
      <c r="O154" s="4"/>
      <c r="P154" s="4"/>
      <c r="Q154" s="4"/>
      <c r="R154" s="4"/>
      <c r="S154" s="4"/>
      <c r="T154" s="4"/>
      <c r="U154" s="4"/>
      <c r="V154" s="4"/>
      <c r="W154" s="4"/>
      <c r="X154" s="4"/>
      <c r="Y154" s="4"/>
      <c r="Z154" s="4"/>
    </row>
    <row r="155" customFormat="false" ht="15.75" hidden="false" customHeight="true" outlineLevel="0" collapsed="false">
      <c r="A155" s="4"/>
      <c r="B155" s="4"/>
      <c r="C155" s="4"/>
      <c r="D155" s="4"/>
      <c r="E155" s="31"/>
      <c r="F155" s="4"/>
      <c r="G155" s="4"/>
      <c r="H155" s="4"/>
      <c r="I155" s="4"/>
      <c r="J155" s="4"/>
      <c r="K155" s="4"/>
      <c r="L155" s="4"/>
      <c r="M155" s="4"/>
      <c r="N155" s="4"/>
      <c r="O155" s="4"/>
      <c r="P155" s="4"/>
      <c r="Q155" s="4"/>
      <c r="R155" s="4"/>
      <c r="S155" s="4"/>
      <c r="T155" s="4"/>
      <c r="U155" s="4"/>
      <c r="V155" s="4"/>
      <c r="W155" s="4"/>
      <c r="X155" s="4"/>
      <c r="Y155" s="4"/>
      <c r="Z155" s="4"/>
    </row>
    <row r="156" customFormat="false" ht="15.75" hidden="false" customHeight="true" outlineLevel="0" collapsed="false">
      <c r="A156" s="4"/>
      <c r="B156" s="4"/>
      <c r="C156" s="4"/>
      <c r="D156" s="4"/>
      <c r="E156" s="31"/>
      <c r="F156" s="4"/>
      <c r="G156" s="4"/>
      <c r="H156" s="4"/>
      <c r="I156" s="4"/>
      <c r="J156" s="4"/>
      <c r="K156" s="4"/>
      <c r="L156" s="4"/>
      <c r="M156" s="4"/>
      <c r="N156" s="4"/>
      <c r="O156" s="4"/>
      <c r="P156" s="4"/>
      <c r="Q156" s="4"/>
      <c r="R156" s="4"/>
      <c r="S156" s="4"/>
      <c r="T156" s="4"/>
      <c r="U156" s="4"/>
      <c r="V156" s="4"/>
      <c r="W156" s="4"/>
      <c r="X156" s="4"/>
      <c r="Y156" s="4"/>
      <c r="Z156" s="4"/>
    </row>
    <row r="157" customFormat="false" ht="15.75" hidden="false" customHeight="true" outlineLevel="0" collapsed="false">
      <c r="A157" s="4"/>
      <c r="B157" s="4"/>
      <c r="C157" s="4"/>
      <c r="D157" s="4"/>
      <c r="E157" s="31"/>
      <c r="F157" s="4"/>
      <c r="G157" s="4"/>
      <c r="H157" s="4"/>
      <c r="I157" s="4"/>
      <c r="J157" s="4"/>
      <c r="K157" s="4"/>
      <c r="L157" s="4"/>
      <c r="M157" s="4"/>
      <c r="N157" s="4"/>
      <c r="O157" s="4"/>
      <c r="P157" s="4"/>
      <c r="Q157" s="4"/>
      <c r="R157" s="4"/>
      <c r="S157" s="4"/>
      <c r="T157" s="4"/>
      <c r="U157" s="4"/>
      <c r="V157" s="4"/>
      <c r="W157" s="4"/>
      <c r="X157" s="4"/>
      <c r="Y157" s="4"/>
      <c r="Z157" s="4"/>
    </row>
    <row r="158" customFormat="false" ht="15.75" hidden="false" customHeight="true" outlineLevel="0" collapsed="false">
      <c r="A158" s="4"/>
      <c r="B158" s="4"/>
      <c r="C158" s="4"/>
      <c r="D158" s="4"/>
      <c r="E158" s="31"/>
      <c r="F158" s="4"/>
      <c r="G158" s="4"/>
      <c r="H158" s="4"/>
      <c r="I158" s="4"/>
      <c r="J158" s="4"/>
      <c r="K158" s="4"/>
      <c r="L158" s="4"/>
      <c r="M158" s="4"/>
      <c r="N158" s="4"/>
      <c r="O158" s="4"/>
      <c r="P158" s="4"/>
      <c r="Q158" s="4"/>
      <c r="R158" s="4"/>
      <c r="S158" s="4"/>
      <c r="T158" s="4"/>
      <c r="U158" s="4"/>
      <c r="V158" s="4"/>
      <c r="W158" s="4"/>
      <c r="X158" s="4"/>
      <c r="Y158" s="4"/>
      <c r="Z158" s="4"/>
    </row>
    <row r="159" customFormat="false" ht="15.75" hidden="false" customHeight="true" outlineLevel="0" collapsed="false">
      <c r="A159" s="4"/>
      <c r="B159" s="4"/>
      <c r="C159" s="4"/>
      <c r="D159" s="4"/>
      <c r="E159" s="31"/>
      <c r="F159" s="4"/>
      <c r="G159" s="4"/>
      <c r="H159" s="4"/>
      <c r="I159" s="4"/>
      <c r="J159" s="4"/>
      <c r="K159" s="4"/>
      <c r="L159" s="4"/>
      <c r="M159" s="4"/>
      <c r="N159" s="4"/>
      <c r="O159" s="4"/>
      <c r="P159" s="4"/>
      <c r="Q159" s="4"/>
      <c r="R159" s="4"/>
      <c r="S159" s="4"/>
      <c r="T159" s="4"/>
      <c r="U159" s="4"/>
      <c r="V159" s="4"/>
      <c r="W159" s="4"/>
      <c r="X159" s="4"/>
      <c r="Y159" s="4"/>
      <c r="Z159" s="4"/>
    </row>
    <row r="160" customFormat="false" ht="15.75" hidden="false" customHeight="true" outlineLevel="0" collapsed="false">
      <c r="A160" s="4"/>
      <c r="B160" s="4"/>
      <c r="C160" s="4"/>
      <c r="D160" s="4"/>
      <c r="E160" s="31"/>
      <c r="F160" s="4"/>
      <c r="G160" s="4"/>
      <c r="H160" s="4"/>
      <c r="I160" s="4"/>
      <c r="J160" s="4"/>
      <c r="K160" s="4"/>
      <c r="L160" s="4"/>
      <c r="M160" s="4"/>
      <c r="N160" s="4"/>
      <c r="O160" s="4"/>
      <c r="P160" s="4"/>
      <c r="Q160" s="4"/>
      <c r="R160" s="4"/>
      <c r="S160" s="4"/>
      <c r="T160" s="4"/>
      <c r="U160" s="4"/>
      <c r="V160" s="4"/>
      <c r="W160" s="4"/>
      <c r="X160" s="4"/>
      <c r="Y160" s="4"/>
      <c r="Z160" s="4"/>
    </row>
    <row r="161" customFormat="false" ht="15.75" hidden="false" customHeight="true" outlineLevel="0" collapsed="false">
      <c r="A161" s="4"/>
      <c r="B161" s="4"/>
      <c r="C161" s="4"/>
      <c r="D161" s="4"/>
      <c r="E161" s="31"/>
      <c r="F161" s="4"/>
      <c r="G161" s="4"/>
      <c r="H161" s="4"/>
      <c r="I161" s="4"/>
      <c r="J161" s="4"/>
      <c r="K161" s="4"/>
      <c r="L161" s="4"/>
      <c r="M161" s="4"/>
      <c r="N161" s="4"/>
      <c r="O161" s="4"/>
      <c r="P161" s="4"/>
      <c r="Q161" s="4"/>
      <c r="R161" s="4"/>
      <c r="S161" s="4"/>
      <c r="T161" s="4"/>
      <c r="U161" s="4"/>
      <c r="V161" s="4"/>
      <c r="W161" s="4"/>
      <c r="X161" s="4"/>
      <c r="Y161" s="4"/>
      <c r="Z161" s="4"/>
    </row>
    <row r="162" customFormat="false" ht="15.75" hidden="false" customHeight="true" outlineLevel="0" collapsed="false">
      <c r="A162" s="4"/>
      <c r="B162" s="4"/>
      <c r="C162" s="4"/>
      <c r="D162" s="4"/>
      <c r="E162" s="31"/>
      <c r="F162" s="4"/>
      <c r="G162" s="4"/>
      <c r="H162" s="4"/>
      <c r="I162" s="4"/>
      <c r="J162" s="4"/>
      <c r="K162" s="4"/>
      <c r="L162" s="4"/>
      <c r="M162" s="4"/>
      <c r="N162" s="4"/>
      <c r="O162" s="4"/>
      <c r="P162" s="4"/>
      <c r="Q162" s="4"/>
      <c r="R162" s="4"/>
      <c r="S162" s="4"/>
      <c r="T162" s="4"/>
      <c r="U162" s="4"/>
      <c r="V162" s="4"/>
      <c r="W162" s="4"/>
      <c r="X162" s="4"/>
      <c r="Y162" s="4"/>
      <c r="Z162" s="4"/>
    </row>
    <row r="163" customFormat="false" ht="15.75" hidden="false" customHeight="true" outlineLevel="0" collapsed="false">
      <c r="A163" s="4"/>
      <c r="B163" s="4"/>
      <c r="C163" s="4"/>
      <c r="D163" s="4"/>
      <c r="E163" s="31"/>
      <c r="F163" s="4"/>
      <c r="G163" s="4"/>
      <c r="H163" s="4"/>
      <c r="I163" s="4"/>
      <c r="J163" s="4"/>
      <c r="K163" s="4"/>
      <c r="L163" s="4"/>
      <c r="M163" s="4"/>
      <c r="N163" s="4"/>
      <c r="O163" s="4"/>
      <c r="P163" s="4"/>
      <c r="Q163" s="4"/>
      <c r="R163" s="4"/>
      <c r="S163" s="4"/>
      <c r="T163" s="4"/>
      <c r="U163" s="4"/>
      <c r="V163" s="4"/>
      <c r="W163" s="4"/>
      <c r="X163" s="4"/>
      <c r="Y163" s="4"/>
      <c r="Z163" s="4"/>
    </row>
    <row r="164" customFormat="false" ht="15.75" hidden="false" customHeight="true" outlineLevel="0" collapsed="false">
      <c r="A164" s="4"/>
      <c r="B164" s="4"/>
      <c r="C164" s="4"/>
      <c r="D164" s="4"/>
      <c r="E164" s="31"/>
      <c r="F164" s="4"/>
      <c r="G164" s="4"/>
      <c r="H164" s="4"/>
      <c r="I164" s="4"/>
      <c r="J164" s="4"/>
      <c r="K164" s="4"/>
      <c r="L164" s="4"/>
      <c r="M164" s="4"/>
      <c r="N164" s="4"/>
      <c r="O164" s="4"/>
      <c r="P164" s="4"/>
      <c r="Q164" s="4"/>
      <c r="R164" s="4"/>
      <c r="S164" s="4"/>
      <c r="T164" s="4"/>
      <c r="U164" s="4"/>
      <c r="V164" s="4"/>
      <c r="W164" s="4"/>
      <c r="X164" s="4"/>
      <c r="Y164" s="4"/>
      <c r="Z164" s="4"/>
    </row>
    <row r="165" customFormat="false" ht="15.75" hidden="false" customHeight="true" outlineLevel="0" collapsed="false">
      <c r="A165" s="4"/>
      <c r="B165" s="4"/>
      <c r="C165" s="4"/>
      <c r="D165" s="4"/>
      <c r="E165" s="31"/>
      <c r="F165" s="4"/>
      <c r="G165" s="4"/>
      <c r="H165" s="4"/>
      <c r="I165" s="4"/>
      <c r="J165" s="4"/>
      <c r="K165" s="4"/>
      <c r="L165" s="4"/>
      <c r="M165" s="4"/>
      <c r="N165" s="4"/>
      <c r="O165" s="4"/>
      <c r="P165" s="4"/>
      <c r="Q165" s="4"/>
      <c r="R165" s="4"/>
      <c r="S165" s="4"/>
      <c r="T165" s="4"/>
      <c r="U165" s="4"/>
      <c r="V165" s="4"/>
      <c r="W165" s="4"/>
      <c r="X165" s="4"/>
      <c r="Y165" s="4"/>
      <c r="Z165" s="4"/>
    </row>
    <row r="166" customFormat="false" ht="15.75" hidden="false" customHeight="true" outlineLevel="0" collapsed="false">
      <c r="A166" s="4"/>
      <c r="B166" s="4"/>
      <c r="C166" s="4"/>
      <c r="D166" s="4"/>
      <c r="E166" s="31"/>
      <c r="F166" s="4"/>
      <c r="G166" s="4"/>
      <c r="H166" s="4"/>
      <c r="I166" s="4"/>
      <c r="J166" s="4"/>
      <c r="K166" s="4"/>
      <c r="L166" s="4"/>
      <c r="M166" s="4"/>
      <c r="N166" s="4"/>
      <c r="O166" s="4"/>
      <c r="P166" s="4"/>
      <c r="Q166" s="4"/>
      <c r="R166" s="4"/>
      <c r="S166" s="4"/>
      <c r="T166" s="4"/>
      <c r="U166" s="4"/>
      <c r="V166" s="4"/>
      <c r="W166" s="4"/>
      <c r="X166" s="4"/>
      <c r="Y166" s="4"/>
      <c r="Z166" s="4"/>
    </row>
    <row r="167" customFormat="false" ht="15.75" hidden="false" customHeight="true" outlineLevel="0" collapsed="false">
      <c r="A167" s="4"/>
      <c r="B167" s="4"/>
      <c r="C167" s="4"/>
      <c r="D167" s="4"/>
      <c r="E167" s="31"/>
      <c r="F167" s="4"/>
      <c r="G167" s="4"/>
      <c r="H167" s="4"/>
      <c r="I167" s="4"/>
      <c r="J167" s="4"/>
      <c r="K167" s="4"/>
      <c r="L167" s="4"/>
      <c r="M167" s="4"/>
      <c r="N167" s="4"/>
      <c r="O167" s="4"/>
      <c r="P167" s="4"/>
      <c r="Q167" s="4"/>
      <c r="R167" s="4"/>
      <c r="S167" s="4"/>
      <c r="T167" s="4"/>
      <c r="U167" s="4"/>
      <c r="V167" s="4"/>
      <c r="W167" s="4"/>
      <c r="X167" s="4"/>
      <c r="Y167" s="4"/>
      <c r="Z167" s="4"/>
    </row>
    <row r="168" customFormat="false" ht="15.75" hidden="false" customHeight="true" outlineLevel="0" collapsed="false">
      <c r="A168" s="4"/>
      <c r="B168" s="4"/>
      <c r="C168" s="4"/>
      <c r="D168" s="4"/>
      <c r="E168" s="31"/>
      <c r="F168" s="4"/>
      <c r="G168" s="4"/>
      <c r="H168" s="4"/>
      <c r="I168" s="4"/>
      <c r="J168" s="4"/>
      <c r="K168" s="4"/>
      <c r="L168" s="4"/>
      <c r="M168" s="4"/>
      <c r="N168" s="4"/>
      <c r="O168" s="4"/>
      <c r="P168" s="4"/>
      <c r="Q168" s="4"/>
      <c r="R168" s="4"/>
      <c r="S168" s="4"/>
      <c r="T168" s="4"/>
      <c r="U168" s="4"/>
      <c r="V168" s="4"/>
      <c r="W168" s="4"/>
      <c r="X168" s="4"/>
      <c r="Y168" s="4"/>
      <c r="Z168" s="4"/>
    </row>
    <row r="169" customFormat="false" ht="15.75" hidden="false" customHeight="true" outlineLevel="0" collapsed="false">
      <c r="A169" s="4"/>
      <c r="B169" s="4"/>
      <c r="C169" s="4"/>
      <c r="D169" s="4"/>
      <c r="E169" s="31"/>
      <c r="F169" s="4"/>
      <c r="G169" s="4"/>
      <c r="H169" s="4"/>
      <c r="I169" s="4"/>
      <c r="J169" s="4"/>
      <c r="K169" s="4"/>
      <c r="L169" s="4"/>
      <c r="M169" s="4"/>
      <c r="N169" s="4"/>
      <c r="O169" s="4"/>
      <c r="P169" s="4"/>
      <c r="Q169" s="4"/>
      <c r="R169" s="4"/>
      <c r="S169" s="4"/>
      <c r="T169" s="4"/>
      <c r="U169" s="4"/>
      <c r="V169" s="4"/>
      <c r="W169" s="4"/>
      <c r="X169" s="4"/>
      <c r="Y169" s="4"/>
      <c r="Z169" s="4"/>
    </row>
    <row r="170" customFormat="false" ht="15.75" hidden="false" customHeight="true" outlineLevel="0" collapsed="false">
      <c r="A170" s="4"/>
      <c r="B170" s="4"/>
      <c r="C170" s="4"/>
      <c r="D170" s="4"/>
      <c r="E170" s="31"/>
      <c r="F170" s="4"/>
      <c r="G170" s="4"/>
      <c r="H170" s="4"/>
      <c r="I170" s="4"/>
      <c r="J170" s="4"/>
      <c r="K170" s="4"/>
      <c r="L170" s="4"/>
      <c r="M170" s="4"/>
      <c r="N170" s="4"/>
      <c r="O170" s="4"/>
      <c r="P170" s="4"/>
      <c r="Q170" s="4"/>
      <c r="R170" s="4"/>
      <c r="S170" s="4"/>
      <c r="T170" s="4"/>
      <c r="U170" s="4"/>
      <c r="V170" s="4"/>
      <c r="W170" s="4"/>
      <c r="X170" s="4"/>
      <c r="Y170" s="4"/>
      <c r="Z170" s="4"/>
    </row>
    <row r="171" customFormat="false" ht="15.75" hidden="false" customHeight="true" outlineLevel="0" collapsed="false">
      <c r="A171" s="4"/>
      <c r="B171" s="4"/>
      <c r="C171" s="4"/>
      <c r="D171" s="4"/>
      <c r="E171" s="31"/>
      <c r="F171" s="4"/>
      <c r="G171" s="4"/>
      <c r="H171" s="4"/>
      <c r="I171" s="4"/>
      <c r="J171" s="4"/>
      <c r="K171" s="4"/>
      <c r="L171" s="4"/>
      <c r="M171" s="4"/>
      <c r="N171" s="4"/>
      <c r="O171" s="4"/>
      <c r="P171" s="4"/>
      <c r="Q171" s="4"/>
      <c r="R171" s="4"/>
      <c r="S171" s="4"/>
      <c r="T171" s="4"/>
      <c r="U171" s="4"/>
      <c r="V171" s="4"/>
      <c r="W171" s="4"/>
      <c r="X171" s="4"/>
      <c r="Y171" s="4"/>
      <c r="Z171" s="4"/>
    </row>
    <row r="172" customFormat="false" ht="15.75" hidden="false" customHeight="true" outlineLevel="0" collapsed="false">
      <c r="A172" s="4"/>
      <c r="B172" s="4"/>
      <c r="C172" s="4"/>
      <c r="D172" s="4"/>
      <c r="E172" s="31"/>
      <c r="F172" s="4"/>
      <c r="G172" s="4"/>
      <c r="H172" s="4"/>
      <c r="I172" s="4"/>
      <c r="J172" s="4"/>
      <c r="K172" s="4"/>
      <c r="L172" s="4"/>
      <c r="M172" s="4"/>
      <c r="N172" s="4"/>
      <c r="O172" s="4"/>
      <c r="P172" s="4"/>
      <c r="Q172" s="4"/>
      <c r="R172" s="4"/>
      <c r="S172" s="4"/>
      <c r="T172" s="4"/>
      <c r="U172" s="4"/>
      <c r="V172" s="4"/>
      <c r="W172" s="4"/>
      <c r="X172" s="4"/>
      <c r="Y172" s="4"/>
      <c r="Z172" s="4"/>
    </row>
    <row r="173" customFormat="false" ht="15.75" hidden="false" customHeight="true" outlineLevel="0" collapsed="false">
      <c r="A173" s="4"/>
      <c r="B173" s="4"/>
      <c r="C173" s="4"/>
      <c r="D173" s="4"/>
      <c r="E173" s="31"/>
      <c r="F173" s="4"/>
      <c r="G173" s="4"/>
      <c r="H173" s="4"/>
      <c r="I173" s="4"/>
      <c r="J173" s="4"/>
      <c r="K173" s="4"/>
      <c r="L173" s="4"/>
      <c r="M173" s="4"/>
      <c r="N173" s="4"/>
      <c r="O173" s="4"/>
      <c r="P173" s="4"/>
      <c r="Q173" s="4"/>
      <c r="R173" s="4"/>
      <c r="S173" s="4"/>
      <c r="T173" s="4"/>
      <c r="U173" s="4"/>
      <c r="V173" s="4"/>
      <c r="W173" s="4"/>
      <c r="X173" s="4"/>
      <c r="Y173" s="4"/>
      <c r="Z173" s="4"/>
    </row>
    <row r="174" customFormat="false" ht="15.75" hidden="false" customHeight="true" outlineLevel="0" collapsed="false">
      <c r="A174" s="4"/>
      <c r="B174" s="4"/>
      <c r="C174" s="4"/>
      <c r="D174" s="4"/>
      <c r="E174" s="31"/>
      <c r="F174" s="4"/>
      <c r="G174" s="4"/>
      <c r="H174" s="4"/>
      <c r="I174" s="4"/>
      <c r="J174" s="4"/>
      <c r="K174" s="4"/>
      <c r="L174" s="4"/>
      <c r="M174" s="4"/>
      <c r="N174" s="4"/>
      <c r="O174" s="4"/>
      <c r="P174" s="4"/>
      <c r="Q174" s="4"/>
      <c r="R174" s="4"/>
      <c r="S174" s="4"/>
      <c r="T174" s="4"/>
      <c r="U174" s="4"/>
      <c r="V174" s="4"/>
      <c r="W174" s="4"/>
      <c r="X174" s="4"/>
      <c r="Y174" s="4"/>
      <c r="Z174" s="4"/>
    </row>
    <row r="175" customFormat="false" ht="15.75" hidden="false" customHeight="true" outlineLevel="0" collapsed="false">
      <c r="A175" s="4"/>
      <c r="B175" s="4"/>
      <c r="C175" s="4"/>
      <c r="D175" s="4"/>
      <c r="E175" s="31"/>
      <c r="F175" s="4"/>
      <c r="G175" s="4"/>
      <c r="H175" s="4"/>
      <c r="I175" s="4"/>
      <c r="J175" s="4"/>
      <c r="K175" s="4"/>
      <c r="L175" s="4"/>
      <c r="M175" s="4"/>
      <c r="N175" s="4"/>
      <c r="O175" s="4"/>
      <c r="P175" s="4"/>
      <c r="Q175" s="4"/>
      <c r="R175" s="4"/>
      <c r="S175" s="4"/>
      <c r="T175" s="4"/>
      <c r="U175" s="4"/>
      <c r="V175" s="4"/>
      <c r="W175" s="4"/>
      <c r="X175" s="4"/>
      <c r="Y175" s="4"/>
      <c r="Z175" s="4"/>
    </row>
    <row r="176" customFormat="false" ht="15.75" hidden="false" customHeight="true" outlineLevel="0" collapsed="false">
      <c r="A176" s="4"/>
      <c r="B176" s="4"/>
      <c r="C176" s="4"/>
      <c r="D176" s="4"/>
      <c r="E176" s="31"/>
      <c r="F176" s="4"/>
      <c r="G176" s="4"/>
      <c r="H176" s="4"/>
      <c r="I176" s="4"/>
      <c r="J176" s="4"/>
      <c r="K176" s="4"/>
      <c r="L176" s="4"/>
      <c r="M176" s="4"/>
      <c r="N176" s="4"/>
      <c r="O176" s="4"/>
      <c r="P176" s="4"/>
      <c r="Q176" s="4"/>
      <c r="R176" s="4"/>
      <c r="S176" s="4"/>
      <c r="T176" s="4"/>
      <c r="U176" s="4"/>
      <c r="V176" s="4"/>
      <c r="W176" s="4"/>
      <c r="X176" s="4"/>
      <c r="Y176" s="4"/>
      <c r="Z176" s="4"/>
    </row>
    <row r="177" customFormat="false" ht="15.75" hidden="false" customHeight="true" outlineLevel="0" collapsed="false">
      <c r="A177" s="4"/>
      <c r="B177" s="4"/>
      <c r="C177" s="4"/>
      <c r="D177" s="4"/>
      <c r="E177" s="31"/>
      <c r="F177" s="4"/>
      <c r="G177" s="4"/>
      <c r="H177" s="4"/>
      <c r="I177" s="4"/>
      <c r="J177" s="4"/>
      <c r="K177" s="4"/>
      <c r="L177" s="4"/>
      <c r="M177" s="4"/>
      <c r="N177" s="4"/>
      <c r="O177" s="4"/>
      <c r="P177" s="4"/>
      <c r="Q177" s="4"/>
      <c r="R177" s="4"/>
      <c r="S177" s="4"/>
      <c r="T177" s="4"/>
      <c r="U177" s="4"/>
      <c r="V177" s="4"/>
      <c r="W177" s="4"/>
      <c r="X177" s="4"/>
      <c r="Y177" s="4"/>
      <c r="Z177" s="4"/>
    </row>
    <row r="178" customFormat="false" ht="15.75" hidden="false" customHeight="true" outlineLevel="0" collapsed="false">
      <c r="A178" s="4"/>
      <c r="B178" s="4"/>
      <c r="C178" s="4"/>
      <c r="D178" s="4"/>
      <c r="E178" s="31"/>
      <c r="F178" s="4"/>
      <c r="G178" s="4"/>
      <c r="H178" s="4"/>
      <c r="I178" s="4"/>
      <c r="J178" s="4"/>
      <c r="K178" s="4"/>
      <c r="L178" s="4"/>
      <c r="M178" s="4"/>
      <c r="N178" s="4"/>
      <c r="O178" s="4"/>
      <c r="P178" s="4"/>
      <c r="Q178" s="4"/>
      <c r="R178" s="4"/>
      <c r="S178" s="4"/>
      <c r="T178" s="4"/>
      <c r="U178" s="4"/>
      <c r="V178" s="4"/>
      <c r="W178" s="4"/>
      <c r="X178" s="4"/>
      <c r="Y178" s="4"/>
      <c r="Z178" s="4"/>
    </row>
    <row r="179" customFormat="false" ht="15.75" hidden="false" customHeight="true" outlineLevel="0" collapsed="false">
      <c r="A179" s="4"/>
      <c r="B179" s="4"/>
      <c r="C179" s="4"/>
      <c r="D179" s="4"/>
      <c r="E179" s="31"/>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true" outlineLevel="0" collapsed="false">
      <c r="A180" s="4"/>
      <c r="B180" s="4"/>
      <c r="C180" s="4"/>
      <c r="D180" s="4"/>
      <c r="E180" s="31"/>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true" outlineLevel="0" collapsed="false">
      <c r="A181" s="4"/>
      <c r="B181" s="4"/>
      <c r="C181" s="4"/>
      <c r="D181" s="4"/>
      <c r="E181" s="31"/>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true" outlineLevel="0" collapsed="false">
      <c r="A182" s="4"/>
      <c r="B182" s="4"/>
      <c r="C182" s="4"/>
      <c r="D182" s="4"/>
      <c r="E182" s="31"/>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true" outlineLevel="0" collapsed="false">
      <c r="A183" s="4"/>
      <c r="B183" s="4"/>
      <c r="C183" s="4"/>
      <c r="D183" s="4"/>
      <c r="E183" s="31"/>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true" outlineLevel="0" collapsed="false">
      <c r="A184" s="4"/>
      <c r="B184" s="4"/>
      <c r="C184" s="4"/>
      <c r="D184" s="4"/>
      <c r="E184" s="31"/>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true" outlineLevel="0" collapsed="false">
      <c r="A185" s="4"/>
      <c r="B185" s="4"/>
      <c r="C185" s="4"/>
      <c r="D185" s="4"/>
      <c r="E185" s="31"/>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true" outlineLevel="0" collapsed="false">
      <c r="A186" s="4"/>
      <c r="B186" s="4"/>
      <c r="C186" s="4"/>
      <c r="D186" s="4"/>
      <c r="E186" s="31"/>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true" outlineLevel="0" collapsed="false">
      <c r="A187" s="4"/>
      <c r="B187" s="4"/>
      <c r="C187" s="4"/>
      <c r="D187" s="4"/>
      <c r="E187" s="31"/>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true" outlineLevel="0" collapsed="false">
      <c r="A188" s="4"/>
      <c r="B188" s="4"/>
      <c r="C188" s="4"/>
      <c r="D188" s="4"/>
      <c r="E188" s="31"/>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true" outlineLevel="0" collapsed="false">
      <c r="A189" s="4"/>
      <c r="B189" s="4"/>
      <c r="C189" s="4"/>
      <c r="D189" s="4"/>
      <c r="E189" s="31"/>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true" outlineLevel="0" collapsed="false">
      <c r="A190" s="4"/>
      <c r="B190" s="4"/>
      <c r="C190" s="4"/>
      <c r="D190" s="4"/>
      <c r="E190" s="31"/>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true" outlineLevel="0" collapsed="false">
      <c r="A191" s="4"/>
      <c r="B191" s="4"/>
      <c r="C191" s="4"/>
      <c r="D191" s="4"/>
      <c r="E191" s="31"/>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true" outlineLevel="0" collapsed="false">
      <c r="A192" s="4"/>
      <c r="B192" s="4"/>
      <c r="C192" s="4"/>
      <c r="D192" s="4"/>
      <c r="E192" s="31"/>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true" outlineLevel="0" collapsed="false">
      <c r="A193" s="4"/>
      <c r="B193" s="4"/>
      <c r="C193" s="4"/>
      <c r="D193" s="4"/>
      <c r="E193" s="31"/>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true" outlineLevel="0" collapsed="false">
      <c r="A194" s="4"/>
      <c r="B194" s="4"/>
      <c r="C194" s="4"/>
      <c r="D194" s="4"/>
      <c r="E194" s="31"/>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true" outlineLevel="0" collapsed="false">
      <c r="A195" s="4"/>
      <c r="B195" s="4"/>
      <c r="C195" s="4"/>
      <c r="D195" s="4"/>
      <c r="E195" s="31"/>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true" outlineLevel="0" collapsed="false">
      <c r="A196" s="4"/>
      <c r="B196" s="4"/>
      <c r="C196" s="4"/>
      <c r="D196" s="4"/>
      <c r="E196" s="31"/>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true" outlineLevel="0" collapsed="false">
      <c r="A197" s="4"/>
      <c r="B197" s="4"/>
      <c r="C197" s="4"/>
      <c r="D197" s="4"/>
      <c r="E197" s="31"/>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true" outlineLevel="0" collapsed="false">
      <c r="A198" s="4"/>
      <c r="B198" s="4"/>
      <c r="C198" s="4"/>
      <c r="D198" s="4"/>
      <c r="E198" s="31"/>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true" outlineLevel="0" collapsed="false">
      <c r="A199" s="4"/>
      <c r="B199" s="4"/>
      <c r="C199" s="4"/>
      <c r="D199" s="4"/>
      <c r="E199" s="31"/>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true" outlineLevel="0" collapsed="false">
      <c r="A200" s="4"/>
      <c r="B200" s="4"/>
      <c r="C200" s="4"/>
      <c r="D200" s="4"/>
      <c r="E200" s="31"/>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true" outlineLevel="0" collapsed="false">
      <c r="A201" s="4"/>
      <c r="B201" s="4"/>
      <c r="C201" s="4"/>
      <c r="D201" s="4"/>
      <c r="E201" s="31"/>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true" outlineLevel="0" collapsed="false">
      <c r="A202" s="4"/>
      <c r="B202" s="4"/>
      <c r="C202" s="4"/>
      <c r="D202" s="4"/>
      <c r="E202" s="31"/>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true" outlineLevel="0" collapsed="false">
      <c r="A203" s="4"/>
      <c r="B203" s="4"/>
      <c r="C203" s="4"/>
      <c r="D203" s="4"/>
      <c r="E203" s="31"/>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true" outlineLevel="0" collapsed="false">
      <c r="A204" s="4"/>
      <c r="B204" s="4"/>
      <c r="C204" s="4"/>
      <c r="D204" s="4"/>
      <c r="E204" s="31"/>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true" outlineLevel="0" collapsed="false">
      <c r="A205" s="4"/>
      <c r="B205" s="4"/>
      <c r="C205" s="4"/>
      <c r="D205" s="4"/>
      <c r="E205" s="31"/>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true" outlineLevel="0" collapsed="false">
      <c r="A206" s="4"/>
      <c r="B206" s="4"/>
      <c r="C206" s="4"/>
      <c r="D206" s="4"/>
      <c r="E206" s="31"/>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true" outlineLevel="0" collapsed="false">
      <c r="A207" s="4"/>
      <c r="B207" s="4"/>
      <c r="C207" s="4"/>
      <c r="D207" s="4"/>
      <c r="E207" s="31"/>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true" outlineLevel="0" collapsed="false">
      <c r="A208" s="4"/>
      <c r="B208" s="4"/>
      <c r="C208" s="4"/>
      <c r="D208" s="4"/>
      <c r="E208" s="31"/>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true" outlineLevel="0" collapsed="false">
      <c r="A209" s="4"/>
      <c r="B209" s="4"/>
      <c r="C209" s="4"/>
      <c r="D209" s="4"/>
      <c r="E209" s="31"/>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true" outlineLevel="0" collapsed="false">
      <c r="A210" s="4"/>
      <c r="B210" s="4"/>
      <c r="C210" s="4"/>
      <c r="D210" s="4"/>
      <c r="E210" s="31"/>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true" outlineLevel="0" collapsed="false">
      <c r="A211" s="4"/>
      <c r="B211" s="4"/>
      <c r="C211" s="4"/>
      <c r="D211" s="4"/>
      <c r="E211" s="31"/>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true" outlineLevel="0" collapsed="false">
      <c r="A212" s="4"/>
      <c r="B212" s="4"/>
      <c r="C212" s="4"/>
      <c r="D212" s="4"/>
      <c r="E212" s="31"/>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true" outlineLevel="0" collapsed="false">
      <c r="A213" s="4"/>
      <c r="B213" s="4"/>
      <c r="C213" s="4"/>
      <c r="D213" s="4"/>
      <c r="E213" s="31"/>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true" outlineLevel="0" collapsed="false">
      <c r="A214" s="4"/>
      <c r="B214" s="4"/>
      <c r="C214" s="4"/>
      <c r="D214" s="4"/>
      <c r="E214" s="31"/>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true" outlineLevel="0" collapsed="false">
      <c r="A215" s="4"/>
      <c r="B215" s="4"/>
      <c r="C215" s="4"/>
      <c r="D215" s="4"/>
      <c r="E215" s="31"/>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true" outlineLevel="0" collapsed="false">
      <c r="A216" s="4"/>
      <c r="B216" s="4"/>
      <c r="C216" s="4"/>
      <c r="D216" s="4"/>
      <c r="E216" s="31"/>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true" outlineLevel="0" collapsed="false">
      <c r="A217" s="4"/>
      <c r="B217" s="4"/>
      <c r="C217" s="4"/>
      <c r="D217" s="4"/>
      <c r="E217" s="31"/>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true" outlineLevel="0" collapsed="false">
      <c r="A218" s="4"/>
      <c r="B218" s="4"/>
      <c r="C218" s="4"/>
      <c r="D218" s="4"/>
      <c r="E218" s="31"/>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true" outlineLevel="0" collapsed="false">
      <c r="A219" s="4"/>
      <c r="B219" s="4"/>
      <c r="C219" s="4"/>
      <c r="D219" s="4"/>
      <c r="E219" s="31"/>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true" outlineLevel="0" collapsed="false">
      <c r="A220" s="4"/>
      <c r="B220" s="4"/>
      <c r="C220" s="4"/>
      <c r="D220" s="4"/>
      <c r="E220" s="31"/>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8.57"/>
    <col collapsed="false" customWidth="true" hidden="false" outlineLevel="0" max="2" min="2" style="0" width="12.29"/>
    <col collapsed="false" customWidth="true" hidden="false" outlineLevel="0" max="3" min="3" style="0" width="7.57"/>
    <col collapsed="false" customWidth="true" hidden="false" outlineLevel="0" max="4" min="4" style="0" width="15.42"/>
    <col collapsed="false" customWidth="true" hidden="false" outlineLevel="0" max="5" min="5" style="0" width="6.01"/>
    <col collapsed="false" customWidth="true" hidden="false" outlineLevel="0" max="6" min="6" style="0" width="8.71"/>
    <col collapsed="false" customWidth="true" hidden="false" outlineLevel="0" max="7" min="7" style="0" width="5.7"/>
    <col collapsed="false" customWidth="true" hidden="false" outlineLevel="0" max="9" min="8" style="0" width="8.43"/>
    <col collapsed="false" customWidth="true" hidden="false" outlineLevel="0" max="10" min="10" style="0" width="6.87"/>
    <col collapsed="false" customWidth="true" hidden="false" outlineLevel="0" max="11" min="11" style="0" width="8.57"/>
    <col collapsed="false" customWidth="true" hidden="false" outlineLevel="0" max="12" min="12" style="0" width="9.86"/>
    <col collapsed="false" customWidth="true" hidden="false" outlineLevel="0" max="13" min="13" style="0" width="6.57"/>
    <col collapsed="false" customWidth="true" hidden="false" outlineLevel="0" max="14" min="14" style="0" width="7.42"/>
    <col collapsed="false" customWidth="true" hidden="false" outlineLevel="0" max="26" min="15" style="0" width="8.71"/>
  </cols>
  <sheetData>
    <row r="1" customFormat="false" ht="14.25" hidden="false" customHeight="true" outlineLevel="0" collapsed="false">
      <c r="A1" s="4" t="s">
        <v>1243</v>
      </c>
      <c r="B1" s="4" t="s">
        <v>1244</v>
      </c>
      <c r="C1" s="4" t="s">
        <v>1245</v>
      </c>
      <c r="D1" s="4" t="s">
        <v>1246</v>
      </c>
      <c r="E1" s="4" t="s">
        <v>1626</v>
      </c>
      <c r="F1" s="4" t="s">
        <v>1627</v>
      </c>
      <c r="G1" s="4" t="s">
        <v>1628</v>
      </c>
      <c r="H1" s="4" t="s">
        <v>1629</v>
      </c>
      <c r="I1" s="4" t="s">
        <v>1630</v>
      </c>
      <c r="J1" s="4" t="s">
        <v>1631</v>
      </c>
      <c r="K1" s="4" t="s">
        <v>1632</v>
      </c>
      <c r="L1" s="4" t="s">
        <v>1633</v>
      </c>
      <c r="M1" s="4" t="s">
        <v>1634</v>
      </c>
      <c r="N1" s="4" t="s">
        <v>1635</v>
      </c>
      <c r="O1" s="4"/>
      <c r="P1" s="4"/>
      <c r="Q1" s="4"/>
      <c r="R1" s="4"/>
      <c r="S1" s="4"/>
      <c r="T1" s="4"/>
      <c r="U1" s="4"/>
      <c r="V1" s="4"/>
      <c r="W1" s="4"/>
      <c r="X1" s="4"/>
      <c r="Y1" s="4"/>
      <c r="Z1" s="4"/>
    </row>
    <row r="2" customFormat="false" ht="14.25" hidden="false" customHeight="true" outlineLevel="0" collapsed="false">
      <c r="A2" s="3" t="s">
        <v>1259</v>
      </c>
      <c r="B2" s="3" t="s">
        <v>1260</v>
      </c>
      <c r="C2" s="3" t="n">
        <v>221025</v>
      </c>
      <c r="D2" s="3" t="s">
        <v>1264</v>
      </c>
      <c r="E2" s="32" t="n">
        <v>0.454861111111111</v>
      </c>
      <c r="F2" s="3" t="n">
        <v>98</v>
      </c>
      <c r="G2" s="3" t="n">
        <v>91</v>
      </c>
      <c r="H2" s="3" t="n">
        <v>106</v>
      </c>
      <c r="I2" s="3" t="n">
        <v>72</v>
      </c>
      <c r="J2" s="3" t="n">
        <v>61.5</v>
      </c>
      <c r="K2" s="3" t="n">
        <v>37.3</v>
      </c>
      <c r="L2" s="3" t="s">
        <v>71</v>
      </c>
    </row>
    <row r="3" customFormat="false" ht="14.25" hidden="false" customHeight="true" outlineLevel="0" collapsed="false">
      <c r="A3" s="3" t="s">
        <v>1259</v>
      </c>
      <c r="B3" s="3" t="s">
        <v>1260</v>
      </c>
      <c r="C3" s="3" t="n">
        <v>221025</v>
      </c>
      <c r="D3" s="3" t="s">
        <v>1266</v>
      </c>
      <c r="E3" s="32" t="n">
        <v>0.338194444444444</v>
      </c>
      <c r="F3" s="3" t="n">
        <v>95</v>
      </c>
      <c r="G3" s="3" t="n">
        <v>93</v>
      </c>
      <c r="H3" s="3" t="n">
        <v>110</v>
      </c>
      <c r="I3" s="3" t="n">
        <v>73</v>
      </c>
      <c r="J3" s="3" t="n">
        <v>60.5</v>
      </c>
      <c r="K3" s="3" t="n">
        <v>37</v>
      </c>
      <c r="L3" s="3" t="s">
        <v>71</v>
      </c>
    </row>
    <row r="4" customFormat="false" ht="14.25" hidden="false" customHeight="true" outlineLevel="0" collapsed="false">
      <c r="A4" s="3" t="s">
        <v>1259</v>
      </c>
      <c r="B4" s="3" t="s">
        <v>1260</v>
      </c>
      <c r="C4" s="3" t="n">
        <v>221025</v>
      </c>
      <c r="D4" s="3" t="s">
        <v>1269</v>
      </c>
      <c r="E4" s="32" t="n">
        <v>0.416666666666667</v>
      </c>
      <c r="F4" s="3" t="n">
        <v>95</v>
      </c>
      <c r="G4" s="3" t="n">
        <v>99</v>
      </c>
      <c r="H4" s="3" t="n">
        <v>101</v>
      </c>
      <c r="I4" s="3" t="n">
        <v>82</v>
      </c>
      <c r="J4" s="3" t="n">
        <v>57</v>
      </c>
      <c r="K4" s="3" t="n">
        <v>37</v>
      </c>
      <c r="L4" s="3" t="s">
        <v>71</v>
      </c>
    </row>
    <row r="5" customFormat="false" ht="14.25" hidden="false" customHeight="true" outlineLevel="0" collapsed="false">
      <c r="A5" s="3" t="s">
        <v>1259</v>
      </c>
      <c r="B5" s="3" t="s">
        <v>1260</v>
      </c>
      <c r="C5" s="3" t="n">
        <v>221025</v>
      </c>
      <c r="D5" s="3" t="s">
        <v>1270</v>
      </c>
      <c r="E5" s="32" t="n">
        <v>0.458333333333333</v>
      </c>
      <c r="F5" s="3" t="n">
        <v>95</v>
      </c>
      <c r="G5" s="3" t="n">
        <v>99</v>
      </c>
      <c r="H5" s="3" t="n">
        <v>93</v>
      </c>
      <c r="I5" s="3" t="n">
        <v>60</v>
      </c>
      <c r="J5" s="3" t="n">
        <v>59.8</v>
      </c>
      <c r="K5" s="3" t="n">
        <v>37</v>
      </c>
      <c r="L5" s="3" t="s">
        <v>71</v>
      </c>
    </row>
    <row r="6" customFormat="false" ht="14.25" hidden="false" customHeight="true" outlineLevel="0" collapsed="false">
      <c r="A6" s="3" t="s">
        <v>1259</v>
      </c>
      <c r="B6" s="3" t="s">
        <v>1260</v>
      </c>
      <c r="C6" s="3" t="n">
        <v>221025</v>
      </c>
      <c r="D6" s="3" t="s">
        <v>1271</v>
      </c>
      <c r="E6" s="32" t="n">
        <v>0.458333333333333</v>
      </c>
      <c r="F6" s="3" t="n">
        <v>98</v>
      </c>
      <c r="G6" s="3" t="n">
        <v>95</v>
      </c>
      <c r="H6" s="3" t="n">
        <v>102</v>
      </c>
      <c r="I6" s="3" t="n">
        <v>64</v>
      </c>
      <c r="J6" s="3" t="n">
        <v>59.5</v>
      </c>
      <c r="K6" s="3" t="n">
        <v>36.9</v>
      </c>
      <c r="L6" s="3" t="s">
        <v>71</v>
      </c>
    </row>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8.57"/>
    <col collapsed="false" customWidth="true" hidden="false" outlineLevel="0" max="2" min="2" style="0" width="12.29"/>
    <col collapsed="false" customWidth="true" hidden="false" outlineLevel="0" max="3" min="3" style="0" width="7.57"/>
    <col collapsed="false" customWidth="true" hidden="false" outlineLevel="0" max="4" min="4" style="0" width="15.42"/>
    <col collapsed="false" customWidth="true" hidden="false" outlineLevel="0" max="5" min="5" style="0" width="8.86"/>
    <col collapsed="false" customWidth="true" hidden="false" outlineLevel="0" max="6" min="6" style="0" width="9.71"/>
    <col collapsed="false" customWidth="true" hidden="false" outlineLevel="0" max="7" min="7" style="0" width="8.57"/>
    <col collapsed="false" customWidth="true" hidden="false" outlineLevel="0" max="8" min="8" style="0" width="16.29"/>
    <col collapsed="false" customWidth="true" hidden="false" outlineLevel="0" max="9" min="9" style="0" width="6.57"/>
    <col collapsed="false" customWidth="true" hidden="false" outlineLevel="0" max="10" min="10" style="0" width="8.86"/>
    <col collapsed="false" customWidth="true" hidden="false" outlineLevel="0" max="11" min="11" style="0" width="7.87"/>
    <col collapsed="false" customWidth="true" hidden="false" outlineLevel="0" max="12" min="12" style="0" width="8.43"/>
    <col collapsed="false" customWidth="true" hidden="false" outlineLevel="0" max="13" min="13" style="0" width="8.86"/>
    <col collapsed="false" customWidth="true" hidden="false" outlineLevel="0" max="14" min="14" style="0" width="7.57"/>
    <col collapsed="false" customWidth="true" hidden="false" outlineLevel="0" max="15" min="15" style="0" width="4.14"/>
    <col collapsed="false" customWidth="true" hidden="false" outlineLevel="0" max="16" min="16" style="0" width="7.57"/>
    <col collapsed="false" customWidth="true" hidden="false" outlineLevel="0" max="17" min="17" style="0" width="9.86"/>
    <col collapsed="false" customWidth="true" hidden="false" outlineLevel="0" max="18" min="18" style="0" width="7.87"/>
    <col collapsed="false" customWidth="true" hidden="false" outlineLevel="0" max="19" min="19" style="0" width="11.14"/>
    <col collapsed="false" customWidth="true" hidden="false" outlineLevel="0" max="20" min="20" style="0" width="10.86"/>
    <col collapsed="false" customWidth="true" hidden="false" outlineLevel="0" max="21" min="21" style="0" width="8.29"/>
    <col collapsed="false" customWidth="true" hidden="false" outlineLevel="0" max="22" min="22" style="0" width="8.43"/>
    <col collapsed="false" customWidth="true" hidden="false" outlineLevel="0" max="23" min="23" style="0" width="8.14"/>
    <col collapsed="false" customWidth="true" hidden="false" outlineLevel="0" max="25" min="24" style="0" width="8.43"/>
    <col collapsed="false" customWidth="true" hidden="false" outlineLevel="0" max="26" min="26" style="0" width="8.29"/>
    <col collapsed="false" customWidth="true" hidden="false" outlineLevel="0" max="27" min="27" style="0" width="7.87"/>
    <col collapsed="false" customWidth="true" hidden="false" outlineLevel="0" max="28" min="28" style="0" width="8.57"/>
    <col collapsed="false" customWidth="true" hidden="false" outlineLevel="0" max="29" min="29" style="0" width="7.29"/>
    <col collapsed="false" customWidth="true" hidden="false" outlineLevel="0" max="30" min="30" style="0" width="6.14"/>
    <col collapsed="false" customWidth="true" hidden="false" outlineLevel="0" max="31" min="31" style="0" width="7.29"/>
  </cols>
  <sheetData>
    <row r="1" customFormat="false" ht="15" hidden="false" customHeight="false" outlineLevel="0" collapsed="false">
      <c r="A1" s="4" t="s">
        <v>1243</v>
      </c>
      <c r="B1" s="4" t="s">
        <v>1244</v>
      </c>
      <c r="C1" s="4" t="s">
        <v>1245</v>
      </c>
      <c r="D1" s="4" t="s">
        <v>1246</v>
      </c>
      <c r="E1" s="4" t="s">
        <v>1604</v>
      </c>
      <c r="F1" s="4" t="s">
        <v>1636</v>
      </c>
      <c r="G1" s="4" t="s">
        <v>1637</v>
      </c>
      <c r="H1" s="4" t="s">
        <v>1633</v>
      </c>
      <c r="I1" s="4" t="s">
        <v>1638</v>
      </c>
      <c r="J1" s="4" t="s">
        <v>1639</v>
      </c>
      <c r="K1" s="4" t="s">
        <v>1640</v>
      </c>
      <c r="L1" s="4" t="s">
        <v>1641</v>
      </c>
      <c r="M1" s="4" t="s">
        <v>1642</v>
      </c>
      <c r="N1" s="4" t="s">
        <v>1643</v>
      </c>
      <c r="O1" s="4" t="s">
        <v>1644</v>
      </c>
      <c r="P1" s="4" t="s">
        <v>1645</v>
      </c>
      <c r="Q1" s="4" t="s">
        <v>1646</v>
      </c>
      <c r="R1" s="4" t="s">
        <v>1647</v>
      </c>
      <c r="S1" s="4" t="s">
        <v>1648</v>
      </c>
      <c r="T1" s="4" t="s">
        <v>1649</v>
      </c>
      <c r="U1" s="4" t="s">
        <v>1650</v>
      </c>
      <c r="V1" s="4" t="s">
        <v>1651</v>
      </c>
      <c r="W1" s="4" t="s">
        <v>1652</v>
      </c>
      <c r="X1" s="4" t="s">
        <v>1653</v>
      </c>
      <c r="Y1" s="4" t="s">
        <v>1654</v>
      </c>
      <c r="Z1" s="4" t="s">
        <v>1655</v>
      </c>
      <c r="AA1" s="4" t="s">
        <v>1656</v>
      </c>
      <c r="AB1" s="4" t="s">
        <v>1657</v>
      </c>
      <c r="AC1" s="4" t="s">
        <v>1658</v>
      </c>
      <c r="AD1" s="4" t="s">
        <v>1659</v>
      </c>
      <c r="AE1" s="4" t="s">
        <v>1660</v>
      </c>
    </row>
    <row r="2" customFormat="false" ht="15" hidden="false" customHeight="false" outlineLevel="0" collapsed="false">
      <c r="A2" s="3" t="s">
        <v>1259</v>
      </c>
      <c r="B2" s="3" t="s">
        <v>1260</v>
      </c>
      <c r="C2" s="3" t="n">
        <v>221025</v>
      </c>
      <c r="D2" s="3" t="s">
        <v>1261</v>
      </c>
      <c r="E2" s="3" t="s">
        <v>1561</v>
      </c>
      <c r="F2" s="18" t="n">
        <v>44973</v>
      </c>
      <c r="G2" s="32" t="n">
        <v>0.329166666666667</v>
      </c>
      <c r="H2" s="3" t="s">
        <v>1661</v>
      </c>
      <c r="I2" s="3" t="n">
        <v>11.34</v>
      </c>
      <c r="J2" s="3" t="n">
        <v>0.53</v>
      </c>
      <c r="K2" s="3" t="n">
        <v>0.58</v>
      </c>
      <c r="L2" s="3" t="n">
        <v>0.06</v>
      </c>
      <c r="M2" s="3" t="n">
        <v>16.4</v>
      </c>
      <c r="N2" s="3" t="n">
        <v>382</v>
      </c>
    </row>
    <row r="3" customFormat="false" ht="15" hidden="false" customHeight="false" outlineLevel="0" collapsed="false">
      <c r="A3" s="3" t="s">
        <v>1259</v>
      </c>
      <c r="B3" s="3" t="s">
        <v>1260</v>
      </c>
      <c r="C3" s="3" t="n">
        <v>221025</v>
      </c>
      <c r="D3" s="3" t="s">
        <v>1264</v>
      </c>
      <c r="E3" s="3" t="s">
        <v>1561</v>
      </c>
      <c r="G3" s="32" t="n">
        <v>0.326388888888889</v>
      </c>
      <c r="H3" s="3" t="s">
        <v>1661</v>
      </c>
      <c r="I3" s="3" t="n">
        <v>12.71</v>
      </c>
      <c r="J3" s="3" t="n">
        <v>0.66</v>
      </c>
      <c r="K3" s="3" t="n">
        <v>0.67</v>
      </c>
      <c r="L3" s="3" t="n">
        <v>0.07</v>
      </c>
      <c r="M3" s="3" t="n">
        <v>16</v>
      </c>
      <c r="N3" s="3" t="n">
        <v>323</v>
      </c>
    </row>
    <row r="4" customFormat="false" ht="15" hidden="false" customHeight="false" outlineLevel="0" collapsed="false">
      <c r="A4" s="3" t="s">
        <v>1259</v>
      </c>
      <c r="B4" s="3" t="s">
        <v>1260</v>
      </c>
      <c r="C4" s="3" t="n">
        <v>221025</v>
      </c>
      <c r="D4" s="3" t="s">
        <v>1266</v>
      </c>
      <c r="E4" s="3" t="s">
        <v>1561</v>
      </c>
      <c r="G4" s="32" t="n">
        <v>0.316666666666667</v>
      </c>
      <c r="H4" s="3" t="s">
        <v>1661</v>
      </c>
      <c r="I4" s="3" t="n">
        <v>10.58</v>
      </c>
      <c r="J4" s="3" t="n">
        <v>0.64</v>
      </c>
      <c r="K4" s="3" t="n">
        <v>0.59</v>
      </c>
      <c r="L4" s="3" t="n">
        <v>0.04</v>
      </c>
      <c r="M4" s="3" t="n">
        <v>16</v>
      </c>
      <c r="N4" s="3" t="n">
        <v>296</v>
      </c>
    </row>
    <row r="5" customFormat="false" ht="15" hidden="false" customHeight="false" outlineLevel="0" collapsed="false">
      <c r="A5" s="3" t="s">
        <v>1259</v>
      </c>
      <c r="B5" s="3" t="s">
        <v>1260</v>
      </c>
      <c r="C5" s="3" t="n">
        <v>221025</v>
      </c>
      <c r="D5" s="3" t="s">
        <v>1269</v>
      </c>
      <c r="E5" s="3" t="s">
        <v>1561</v>
      </c>
      <c r="G5" s="32" t="n">
        <v>0.342361111111111</v>
      </c>
      <c r="H5" s="3" t="s">
        <v>1661</v>
      </c>
      <c r="I5" s="3" t="n">
        <v>15.53</v>
      </c>
      <c r="J5" s="3" t="n">
        <v>0.76</v>
      </c>
      <c r="K5" s="3" t="n">
        <v>0.32</v>
      </c>
      <c r="L5" s="3" t="n">
        <v>0.04</v>
      </c>
      <c r="M5" s="3" t="n">
        <v>14.8</v>
      </c>
      <c r="N5" s="3" t="n">
        <v>357</v>
      </c>
    </row>
    <row r="6" customFormat="false" ht="15" hidden="false" customHeight="false" outlineLevel="0" collapsed="false">
      <c r="A6" s="3" t="s">
        <v>1259</v>
      </c>
      <c r="B6" s="3" t="s">
        <v>1260</v>
      </c>
      <c r="C6" s="3" t="n">
        <v>221025</v>
      </c>
      <c r="D6" s="3" t="s">
        <v>1270</v>
      </c>
      <c r="E6" s="3" t="s">
        <v>1561</v>
      </c>
      <c r="G6" s="32" t="n">
        <v>0.316666666666667</v>
      </c>
      <c r="H6" s="3" t="s">
        <v>1661</v>
      </c>
      <c r="I6" s="3" t="n">
        <v>11.54</v>
      </c>
      <c r="J6" s="3" t="n">
        <v>0.6</v>
      </c>
      <c r="K6" s="3" t="n">
        <v>0.31</v>
      </c>
      <c r="L6" s="3" t="n">
        <v>0.09</v>
      </c>
      <c r="M6" s="3" t="n">
        <v>15</v>
      </c>
      <c r="N6" s="3" t="n">
        <v>444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69.29"/>
    <col collapsed="false" customWidth="true" hidden="false" outlineLevel="0" max="9" min="2" style="0" width="16"/>
    <col collapsed="false" customWidth="true" hidden="false" outlineLevel="0" max="10" min="10" style="0" width="19.99"/>
    <col collapsed="false" customWidth="true" hidden="false" outlineLevel="0" max="12" min="11" style="0" width="10"/>
    <col collapsed="false" customWidth="true" hidden="false" outlineLevel="0" max="14" min="13" style="0" width="16"/>
    <col collapsed="false" customWidth="true" hidden="false" outlineLevel="0" max="15" min="15" style="0" width="222.7"/>
    <col collapsed="false" customWidth="true" hidden="false" outlineLevel="0" max="26" min="16" style="0" width="9.13"/>
  </cols>
  <sheetData>
    <row r="1" customFormat="false" ht="14.25" hidden="false" customHeight="true" outlineLevel="0" collapsed="false">
      <c r="A1" s="33" t="s">
        <v>1662</v>
      </c>
      <c r="B1" s="33" t="s">
        <v>1663</v>
      </c>
      <c r="C1" s="33" t="s">
        <v>1664</v>
      </c>
      <c r="D1" s="33" t="s">
        <v>1665</v>
      </c>
      <c r="E1" s="33" t="s">
        <v>1666</v>
      </c>
      <c r="F1" s="33" t="s">
        <v>1667</v>
      </c>
      <c r="G1" s="33" t="s">
        <v>1668</v>
      </c>
      <c r="H1" s="33" t="s">
        <v>1669</v>
      </c>
      <c r="I1" s="33" t="s">
        <v>1670</v>
      </c>
      <c r="J1" s="33" t="s">
        <v>1671</v>
      </c>
      <c r="K1" s="33" t="s">
        <v>1672</v>
      </c>
      <c r="L1" s="33" t="s">
        <v>1673</v>
      </c>
      <c r="M1" s="33" t="s">
        <v>1674</v>
      </c>
      <c r="N1" s="33" t="s">
        <v>1675</v>
      </c>
      <c r="O1" s="33" t="s">
        <v>1676</v>
      </c>
      <c r="P1" s="3"/>
      <c r="Q1" s="3"/>
      <c r="R1" s="3"/>
      <c r="S1" s="3"/>
      <c r="T1" s="3"/>
      <c r="U1" s="3"/>
      <c r="V1" s="3"/>
      <c r="W1" s="3"/>
      <c r="X1" s="3"/>
      <c r="Y1" s="3"/>
      <c r="Z1" s="3"/>
    </row>
    <row r="2" customFormat="false" ht="14.25" hidden="false" customHeight="true" outlineLevel="0" collapsed="false">
      <c r="A2" s="9" t="str">
        <f aca="false">HYPERLINK("https://vtmf.veevavault.com/ui/#doc_info/23802272/1/0", "17000139BLC2001---Site Training Material-27 Mar 2023 (v1.0)")</f>
        <v>17000139BLC2001---Site Training Material-27 Mar 2023 (v1.0)</v>
      </c>
      <c r="B2" s="8" t="s">
        <v>1677</v>
      </c>
      <c r="C2" s="8" t="s">
        <v>1678</v>
      </c>
      <c r="D2" s="8" t="s">
        <v>1679</v>
      </c>
      <c r="E2" s="8" t="s">
        <v>1680</v>
      </c>
      <c r="F2" s="9" t="str">
        <f aca="false">HYPERLINK("https://vtmf.veevavault.com/ui/#doc_info/23802272/1/0", "VTMF-18854844")</f>
        <v>VTMF-18854844</v>
      </c>
      <c r="G2" s="8"/>
      <c r="H2" s="8" t="s">
        <v>1681</v>
      </c>
      <c r="I2" s="8" t="s">
        <v>1681</v>
      </c>
      <c r="J2" s="14" t="n">
        <v>45020.5978472222</v>
      </c>
      <c r="K2" s="34" t="n">
        <v>45020</v>
      </c>
      <c r="L2" s="34" t="n">
        <v>45012</v>
      </c>
      <c r="M2" s="8" t="s">
        <v>1682</v>
      </c>
      <c r="N2" s="8" t="s">
        <v>1683</v>
      </c>
      <c r="O2" s="8" t="s">
        <v>1684</v>
      </c>
      <c r="P2" s="3"/>
      <c r="Q2" s="3"/>
      <c r="R2" s="3"/>
      <c r="S2" s="3"/>
      <c r="T2" s="3"/>
      <c r="U2" s="3"/>
      <c r="V2" s="3"/>
      <c r="W2" s="3"/>
      <c r="X2" s="3"/>
      <c r="Y2" s="3"/>
      <c r="Z2" s="3"/>
    </row>
    <row r="3" customFormat="false" ht="14.25" hidden="false" customHeight="true" outlineLevel="0" collapsed="false">
      <c r="A3" s="9" t="str">
        <f aca="false">HYPERLINK("https://vtmf.veevavault.com/ui/#doc_info/21613799/1/0", "17000139BLC2002---Advertisements for Subject Recruitment-22 Apr 2022 (v1.0)")</f>
        <v>17000139BLC2002---Advertisements for Subject Recruitment-22 Apr 2022 (v1.0)</v>
      </c>
      <c r="B3" s="8" t="s">
        <v>1685</v>
      </c>
      <c r="C3" s="8" t="s">
        <v>1686</v>
      </c>
      <c r="D3" s="8" t="s">
        <v>1687</v>
      </c>
      <c r="E3" s="8" t="s">
        <v>1688</v>
      </c>
      <c r="F3" s="9" t="str">
        <f aca="false">HYPERLINK("https://vtmf.veevavault.com/ui/#doc_info/21613799/1/0", "VTMF-16952485")</f>
        <v>VTMF-16952485</v>
      </c>
      <c r="G3" s="8"/>
      <c r="H3" s="8" t="s">
        <v>1689</v>
      </c>
      <c r="I3" s="8" t="s">
        <v>1689</v>
      </c>
      <c r="J3" s="14" t="n">
        <v>44673.5331365741</v>
      </c>
      <c r="K3" s="34" t="n">
        <v>44678</v>
      </c>
      <c r="L3" s="34" t="n">
        <v>44673</v>
      </c>
      <c r="M3" s="8" t="s">
        <v>1682</v>
      </c>
      <c r="N3" s="8" t="s">
        <v>1690</v>
      </c>
      <c r="O3" s="8" t="s">
        <v>1691</v>
      </c>
      <c r="P3" s="3"/>
      <c r="Q3" s="3"/>
      <c r="R3" s="3"/>
      <c r="S3" s="3"/>
      <c r="T3" s="3"/>
      <c r="U3" s="3"/>
      <c r="V3" s="3"/>
      <c r="W3" s="3"/>
      <c r="X3" s="3"/>
      <c r="Y3" s="3"/>
      <c r="Z3" s="3"/>
    </row>
    <row r="4" customFormat="false" ht="14.25" hidden="false" customHeight="true" outlineLevel="0" collapsed="false">
      <c r="A4" s="9" t="str">
        <f aca="false">HYPERLINK("https://vtmf.veevavault.com/ui/#doc_info/21695704/8/0", "17000139BLC2002---Advertisements for Subject Recruitment-31 Oct 2023 (v8.0)")</f>
        <v>17000139BLC2002---Advertisements for Subject Recruitment-31 Oct 2023 (v8.0)</v>
      </c>
      <c r="B4" s="8" t="s">
        <v>1685</v>
      </c>
      <c r="C4" s="8" t="s">
        <v>1686</v>
      </c>
      <c r="D4" s="8" t="s">
        <v>1687</v>
      </c>
      <c r="E4" s="8" t="s">
        <v>1692</v>
      </c>
      <c r="F4" s="9" t="str">
        <f aca="false">HYPERLINK("https://vtmf.veevavault.com/ui/#doc_info/21695704/8/0", "VTMF-17024961")</f>
        <v>VTMF-17024961</v>
      </c>
      <c r="G4" s="8"/>
      <c r="H4" s="8" t="s">
        <v>1693</v>
      </c>
      <c r="I4" s="8" t="s">
        <v>1693</v>
      </c>
      <c r="J4" s="14" t="n">
        <v>45244.4087384259</v>
      </c>
      <c r="K4" s="34" t="n">
        <v>45244</v>
      </c>
      <c r="L4" s="34" t="n">
        <v>45230</v>
      </c>
      <c r="M4" s="8" t="s">
        <v>1682</v>
      </c>
      <c r="N4" s="8" t="s">
        <v>1690</v>
      </c>
      <c r="O4" s="8" t="s">
        <v>1694</v>
      </c>
      <c r="P4" s="3"/>
      <c r="Q4" s="3"/>
      <c r="R4" s="3"/>
      <c r="S4" s="3"/>
      <c r="T4" s="3"/>
      <c r="U4" s="3"/>
      <c r="V4" s="3"/>
      <c r="W4" s="3"/>
      <c r="X4" s="3"/>
      <c r="Y4" s="3"/>
      <c r="Z4" s="3"/>
    </row>
    <row r="5" customFormat="false" ht="14.25" hidden="false" customHeight="true" outlineLevel="0" collapsed="false">
      <c r="A5" s="9" t="str">
        <f aca="false">HYPERLINK("https://vtmf.veevavault.com/ui/#doc_info/25473969/1/0", "17000139BLC2002---Site Training Material-04 Dec 2023 (v1.0)")</f>
        <v>17000139BLC2002---Site Training Material-04 Dec 2023 (v1.0)</v>
      </c>
      <c r="B5" s="8" t="s">
        <v>1677</v>
      </c>
      <c r="C5" s="8" t="s">
        <v>1678</v>
      </c>
      <c r="D5" s="8" t="s">
        <v>1679</v>
      </c>
      <c r="E5" s="8" t="s">
        <v>1695</v>
      </c>
      <c r="F5" s="9" t="str">
        <f aca="false">HYPERLINK("https://vtmf.veevavault.com/ui/#doc_info/25473969/1/0", "VTMF-20316997")</f>
        <v>VTMF-20316997</v>
      </c>
      <c r="G5" s="8"/>
      <c r="H5" s="8" t="s">
        <v>1696</v>
      </c>
      <c r="I5" s="8" t="s">
        <v>1696</v>
      </c>
      <c r="J5" s="14" t="n">
        <v>45300.5647916667</v>
      </c>
      <c r="K5" s="34" t="n">
        <v>45300</v>
      </c>
      <c r="L5" s="34" t="n">
        <v>45264</v>
      </c>
      <c r="M5" s="8" t="s">
        <v>1682</v>
      </c>
      <c r="N5" s="8" t="s">
        <v>1683</v>
      </c>
      <c r="O5" s="8" t="s">
        <v>1697</v>
      </c>
      <c r="P5" s="3"/>
      <c r="Q5" s="3"/>
      <c r="R5" s="3"/>
      <c r="S5" s="3"/>
      <c r="T5" s="3"/>
      <c r="U5" s="3"/>
      <c r="V5" s="3"/>
      <c r="W5" s="3"/>
      <c r="X5" s="3"/>
      <c r="Y5" s="3"/>
      <c r="Z5" s="3"/>
    </row>
    <row r="6" customFormat="false" ht="14.25" hidden="false" customHeight="true" outlineLevel="0" collapsed="false">
      <c r="A6" s="9" t="str">
        <f aca="false">HYPERLINK("https://vtmf.veevavault.com/ui/#doc_info/23948876/2/0", "17000139BLC3002---Ongoing Third Party Oversight-19 Dec 2023 (v2.0)")</f>
        <v>17000139BLC3002---Ongoing Third Party Oversight-19 Dec 2023 (v2.0)</v>
      </c>
      <c r="B6" s="8" t="s">
        <v>1698</v>
      </c>
      <c r="C6" s="8" t="s">
        <v>1699</v>
      </c>
      <c r="D6" s="8" t="s">
        <v>1700</v>
      </c>
      <c r="E6" s="8" t="s">
        <v>1701</v>
      </c>
      <c r="F6" s="9" t="str">
        <f aca="false">HYPERLINK("https://vtmf.veevavault.com/ui/#doc_info/23948876/2/0", "VTMF-18982783")</f>
        <v>VTMF-18982783</v>
      </c>
      <c r="G6" s="8"/>
      <c r="H6" s="8" t="s">
        <v>1702</v>
      </c>
      <c r="I6" s="8" t="s">
        <v>1702</v>
      </c>
      <c r="J6" s="14" t="n">
        <v>45279.6398611111</v>
      </c>
      <c r="K6" s="34" t="n">
        <v>45280</v>
      </c>
      <c r="L6" s="34" t="n">
        <v>45279</v>
      </c>
      <c r="M6" s="8" t="s">
        <v>1682</v>
      </c>
      <c r="N6" s="8"/>
      <c r="O6" s="8" t="s">
        <v>1703</v>
      </c>
      <c r="P6" s="3"/>
      <c r="Q6" s="3"/>
      <c r="R6" s="3"/>
      <c r="S6" s="3"/>
      <c r="T6" s="3"/>
      <c r="U6" s="3"/>
      <c r="V6" s="3"/>
      <c r="W6" s="3"/>
      <c r="X6" s="3"/>
      <c r="Y6" s="3"/>
      <c r="Z6" s="3"/>
    </row>
    <row r="7" customFormat="false" ht="14.25" hidden="false" customHeight="tru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4.25" hidden="false" customHeight="tru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4.25" hidden="false" customHeight="tru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4.25" hidden="false" customHeight="tru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4.25" hidden="false" customHeight="tru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4.25" hidden="false" customHeight="tru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4.25" hidden="false" customHeight="tru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4.25" hidden="false" customHeight="tru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4.25" hidden="false" customHeight="tru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4.25" hidden="false" customHeight="tru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4.2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4.2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4.2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4.2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4.2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4.2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4.2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4.2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4.2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4.2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4.2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4.2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4.2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4.2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4.2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4.2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4.2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4.2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4.2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4.2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4.2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4.2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4.2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4.2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4.2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4.2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4.2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4.2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4.2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4.2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4.2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4.2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4.2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4.2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4.2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4.2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4.2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4.2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4.2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4.2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4.2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4.2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4.2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4.2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4.2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4.2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4.2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4.2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4.2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4.2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4.2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4.2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4.2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4.2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4.2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4.2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4.2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4.2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4.2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4.2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4.2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4.2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4.2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4.2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4.2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4.2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4.2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4.2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4.2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4.2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4.2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4.2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4.2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4.2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4.2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4.2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4.2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4.2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4.2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4.2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4.2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4.2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4.2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4.2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4.2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4.2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4.2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4.2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4.2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4.2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4.2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4.2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4.2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4.2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4.2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4.2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4.2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4.2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4.2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4.2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4.2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4.2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4.2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4.2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4.2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4.2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4.2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4.2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4.2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4.2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4.2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4.2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4.2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4.2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4.2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4.2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4.2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4.2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4.2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4.2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4.2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4.2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4.2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4.2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4.2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4.2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4.2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4.2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4.2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4.2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4.2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4.2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4.2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4.2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4.2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4.2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4.2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4.2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4.2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4.2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4.2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4.2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4.2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4.2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4.2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4.2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4.2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4.2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4.2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4.2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4.2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4.2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4.2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4.2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4.2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4.2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4.2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4.2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4.2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4.2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4.2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4.2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4.2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4.2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4.2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4.2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4.2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4.2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4.2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4.2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4.2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4.2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4.2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4.2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4.2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4.2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4.2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4.2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4.2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4.2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4.2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4.2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4.2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4.2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4.2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4.2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4.2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4.2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4.2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4.2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4.2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4.2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4.2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4.2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4.2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4.2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4.2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4.2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4.2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4.2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4.2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4.2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4.2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4.2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O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0"/>
    <col collapsed="false" customWidth="true" hidden="false" outlineLevel="0" max="10" min="2" style="0" width="16"/>
    <col collapsed="false" customWidth="true" hidden="false" outlineLevel="0" max="11" min="11" style="0" width="19.99"/>
    <col collapsed="false" customWidth="true" hidden="false" outlineLevel="0" max="12" min="12" style="0" width="10"/>
    <col collapsed="false" customWidth="true" hidden="false" outlineLevel="0" max="16" min="13" style="0" width="16"/>
    <col collapsed="false" customWidth="true" hidden="false" outlineLevel="0" max="17" min="17" style="0" width="228.79"/>
    <col collapsed="false" customWidth="true" hidden="false" outlineLevel="0" max="26" min="18" style="0" width="9.13"/>
  </cols>
  <sheetData>
    <row r="1" customFormat="false" ht="14.25" hidden="false" customHeight="true" outlineLevel="0" collapsed="false">
      <c r="A1" s="33" t="s">
        <v>1662</v>
      </c>
      <c r="B1" s="33" t="s">
        <v>1704</v>
      </c>
      <c r="C1" s="33" t="s">
        <v>1663</v>
      </c>
      <c r="D1" s="33" t="s">
        <v>1664</v>
      </c>
      <c r="E1" s="33" t="s">
        <v>1665</v>
      </c>
      <c r="F1" s="33" t="s">
        <v>1666</v>
      </c>
      <c r="G1" s="33" t="s">
        <v>1667</v>
      </c>
      <c r="H1" s="33" t="s">
        <v>1668</v>
      </c>
      <c r="I1" s="33" t="s">
        <v>1669</v>
      </c>
      <c r="J1" s="33" t="s">
        <v>1670</v>
      </c>
      <c r="K1" s="33" t="s">
        <v>1671</v>
      </c>
      <c r="L1" s="33" t="s">
        <v>1672</v>
      </c>
      <c r="M1" s="33" t="s">
        <v>1674</v>
      </c>
      <c r="N1" s="33" t="s">
        <v>1675</v>
      </c>
      <c r="O1" s="33" t="s">
        <v>1705</v>
      </c>
      <c r="P1" s="33" t="s">
        <v>1244</v>
      </c>
      <c r="Q1" s="33" t="s">
        <v>1676</v>
      </c>
      <c r="R1" s="3"/>
      <c r="S1" s="3"/>
      <c r="T1" s="3"/>
      <c r="U1" s="3"/>
      <c r="V1" s="3"/>
      <c r="W1" s="3"/>
      <c r="X1" s="3"/>
      <c r="Y1" s="3"/>
      <c r="Z1" s="3"/>
    </row>
    <row r="2" customFormat="false" ht="14.25" hidden="false" customHeight="true" outlineLevel="0" collapsed="false">
      <c r="A2" s="9" t="str">
        <f aca="false">HYPERLINK("https://vtmf.veevavault.com/ui/#doc_info/13426457/1/0", "56022473AML2002-FRA--Filenote-12 Aug 2020 (v1.0)")</f>
        <v>56022473AML2002-FRA--Filenote-12 Aug 2020 (v1.0)</v>
      </c>
      <c r="B2" s="8" t="s">
        <v>1681</v>
      </c>
      <c r="C2" s="8" t="s">
        <v>1706</v>
      </c>
      <c r="D2" s="8" t="s">
        <v>1707</v>
      </c>
      <c r="E2" s="8" t="s">
        <v>1708</v>
      </c>
      <c r="F2" s="8" t="s">
        <v>1709</v>
      </c>
      <c r="G2" s="9" t="str">
        <f aca="false">HYPERLINK("https://vtmf.veevavault.com/ui/#doc_info/13426457/1/0", "VTMF-9203731")</f>
        <v>VTMF-9203731</v>
      </c>
      <c r="H2" s="8"/>
      <c r="I2" s="8" t="s">
        <v>1710</v>
      </c>
      <c r="J2" s="8" t="s">
        <v>1711</v>
      </c>
      <c r="K2" s="14" t="n">
        <v>44055.4478703704</v>
      </c>
      <c r="L2" s="34" t="n">
        <v>44055</v>
      </c>
      <c r="M2" s="8" t="s">
        <v>1682</v>
      </c>
      <c r="N2" s="8" t="s">
        <v>1712</v>
      </c>
      <c r="O2" s="8" t="s">
        <v>1713</v>
      </c>
      <c r="P2" s="8"/>
      <c r="Q2" s="8" t="s">
        <v>1714</v>
      </c>
      <c r="R2" s="3"/>
      <c r="S2" s="3"/>
      <c r="T2" s="3"/>
      <c r="U2" s="3"/>
      <c r="V2" s="3"/>
      <c r="W2" s="3"/>
      <c r="X2" s="3"/>
      <c r="Y2" s="3"/>
      <c r="Z2" s="3"/>
    </row>
    <row r="3" customFormat="false" ht="14.25" hidden="false" customHeight="true" outlineLevel="0" collapsed="false">
      <c r="A3" s="9" t="str">
        <f aca="false">HYPERLINK("https://vtmf.veevavault.com/ui/#doc_info/21423798/1/0", "212082PCR3011-ARG--Local CSC Inventory (v1.0)")</f>
        <v>212082PCR3011-ARG--Local CSC Inventory (v1.0)</v>
      </c>
      <c r="B3" s="8" t="s">
        <v>1689</v>
      </c>
      <c r="C3" s="8" t="s">
        <v>1715</v>
      </c>
      <c r="D3" s="8" t="s">
        <v>1716</v>
      </c>
      <c r="E3" s="8" t="s">
        <v>1717</v>
      </c>
      <c r="F3" s="8" t="s">
        <v>1718</v>
      </c>
      <c r="G3" s="9" t="str">
        <f aca="false">HYPERLINK("https://vtmf.veevavault.com/ui/#doc_info/21423798/1/0", "VTMF-16783393")</f>
        <v>VTMF-16783393</v>
      </c>
      <c r="H3" s="8"/>
      <c r="I3" s="8" t="s">
        <v>1710</v>
      </c>
      <c r="J3" s="8" t="s">
        <v>1719</v>
      </c>
      <c r="K3" s="14" t="n">
        <v>44645.6199189815</v>
      </c>
      <c r="L3" s="34" t="n">
        <v>44645</v>
      </c>
      <c r="M3" s="8" t="s">
        <v>1682</v>
      </c>
      <c r="N3" s="8" t="s">
        <v>1720</v>
      </c>
      <c r="O3" s="8" t="s">
        <v>1721</v>
      </c>
      <c r="P3" s="8"/>
      <c r="Q3" s="8" t="s">
        <v>1722</v>
      </c>
      <c r="R3" s="3"/>
      <c r="S3" s="3"/>
      <c r="T3" s="3"/>
      <c r="U3" s="3"/>
      <c r="V3" s="3"/>
      <c r="W3" s="3"/>
      <c r="X3" s="3"/>
      <c r="Y3" s="3"/>
      <c r="Z3" s="3"/>
    </row>
    <row r="4" customFormat="false" ht="14.25" hidden="false" customHeight="true" outlineLevel="0" collapsed="false">
      <c r="A4" s="9" t="str">
        <f aca="false">HYPERLINK("https://vtmf.veevavault.com/ui/#doc_info/21435518/1/0", "212082PCR3011-GBR--Tracking Information-18 Mar 2022 (v1.0)")</f>
        <v>212082PCR3011-GBR--Tracking Information-18 Mar 2022 (v1.0)</v>
      </c>
      <c r="B4" s="8" t="s">
        <v>1693</v>
      </c>
      <c r="C4" s="8" t="s">
        <v>1706</v>
      </c>
      <c r="D4" s="8" t="s">
        <v>1707</v>
      </c>
      <c r="E4" s="8" t="s">
        <v>1723</v>
      </c>
      <c r="F4" s="8" t="s">
        <v>1724</v>
      </c>
      <c r="G4" s="9" t="str">
        <f aca="false">HYPERLINK("https://vtmf.veevavault.com/ui/#doc_info/21435518/1/0", "VTMF-16793876")</f>
        <v>VTMF-16793876</v>
      </c>
      <c r="H4" s="8"/>
      <c r="I4" s="8" t="s">
        <v>1710</v>
      </c>
      <c r="J4" s="8" t="s">
        <v>1719</v>
      </c>
      <c r="K4" s="14" t="n">
        <v>44648.6051041667</v>
      </c>
      <c r="L4" s="34" t="n">
        <v>44648</v>
      </c>
      <c r="M4" s="8" t="s">
        <v>1682</v>
      </c>
      <c r="N4" s="8" t="s">
        <v>1725</v>
      </c>
      <c r="O4" s="8" t="s">
        <v>1726</v>
      </c>
      <c r="P4" s="8"/>
      <c r="Q4" s="8" t="s">
        <v>1722</v>
      </c>
      <c r="R4" s="3"/>
      <c r="S4" s="3"/>
      <c r="T4" s="3"/>
      <c r="U4" s="3"/>
      <c r="V4" s="3"/>
      <c r="W4" s="3"/>
      <c r="X4" s="3"/>
      <c r="Y4" s="3"/>
      <c r="Z4" s="3"/>
    </row>
    <row r="5" customFormat="false" ht="14.25" hidden="false" customHeight="true" outlineLevel="0" collapsed="false">
      <c r="A5" s="9" t="str">
        <f aca="false">HYPERLINK("https://vtmf.veevavault.com/ui/#doc_info/21473997/1/0", "212082PCR3011-GBR--Subject Randomization List-01 Apr 2022 (v1.0)")</f>
        <v>212082PCR3011-GBR--Subject Randomization List-01 Apr 2022 (v1.0)</v>
      </c>
      <c r="B5" s="8" t="s">
        <v>1696</v>
      </c>
      <c r="C5" s="8" t="s">
        <v>1715</v>
      </c>
      <c r="D5" s="8" t="s">
        <v>1727</v>
      </c>
      <c r="E5" s="8" t="s">
        <v>1728</v>
      </c>
      <c r="F5" s="8" t="s">
        <v>1729</v>
      </c>
      <c r="G5" s="9" t="str">
        <f aca="false">HYPERLINK("https://vtmf.veevavault.com/ui/#doc_info/21473997/1/0", "VTMF-16827760")</f>
        <v>VTMF-16827760</v>
      </c>
      <c r="H5" s="8"/>
      <c r="I5" s="8" t="s">
        <v>1710</v>
      </c>
      <c r="J5" s="8" t="s">
        <v>1730</v>
      </c>
      <c r="K5" s="14" t="n">
        <v>44652.5227199074</v>
      </c>
      <c r="L5" s="34" t="n">
        <v>44652</v>
      </c>
      <c r="M5" s="8" t="s">
        <v>1682</v>
      </c>
      <c r="N5" s="8" t="s">
        <v>1720</v>
      </c>
      <c r="O5" s="8" t="s">
        <v>1731</v>
      </c>
      <c r="P5" s="8"/>
      <c r="Q5" s="8" t="s">
        <v>1722</v>
      </c>
      <c r="R5" s="3"/>
      <c r="S5" s="3"/>
      <c r="T5" s="3"/>
      <c r="U5" s="3"/>
      <c r="V5" s="3"/>
      <c r="W5" s="3"/>
      <c r="X5" s="3"/>
      <c r="Y5" s="3"/>
      <c r="Z5" s="3"/>
    </row>
    <row r="6" customFormat="false" ht="14.25" hidden="false" customHeight="true" outlineLevel="0" collapsed="false">
      <c r="A6" s="9" t="str">
        <f aca="false">HYPERLINK("https://vtmf.veevavault.com/ui/#doc_info/10012684/1/0", "54767414MMY3007-ARG--Debarment Statement-12 Sep 2018 (v1.0)")</f>
        <v>54767414MMY3007-ARG--Debarment Statement-12 Sep 2018 (v1.0)</v>
      </c>
      <c r="B6" s="8" t="s">
        <v>1702</v>
      </c>
      <c r="C6" s="8" t="s">
        <v>1706</v>
      </c>
      <c r="D6" s="8" t="s">
        <v>1732</v>
      </c>
      <c r="E6" s="8" t="s">
        <v>1733</v>
      </c>
      <c r="F6" s="8" t="s">
        <v>1734</v>
      </c>
      <c r="G6" s="9" t="str">
        <f aca="false">HYPERLINK("https://vtmf.veevavault.com/ui/#doc_info/10012684/1/0", "VTMF-6057115")</f>
        <v>VTMF-6057115</v>
      </c>
      <c r="H6" s="8"/>
      <c r="I6" s="8" t="s">
        <v>1710</v>
      </c>
      <c r="J6" s="8" t="s">
        <v>1735</v>
      </c>
      <c r="K6" s="14" t="n">
        <v>43355.3237384259</v>
      </c>
      <c r="L6" s="34" t="n">
        <v>43355</v>
      </c>
      <c r="M6" s="8" t="s">
        <v>1682</v>
      </c>
      <c r="N6" s="8" t="s">
        <v>1683</v>
      </c>
      <c r="O6" s="8" t="s">
        <v>1736</v>
      </c>
      <c r="P6" s="8"/>
      <c r="Q6" s="8" t="s">
        <v>1737</v>
      </c>
      <c r="R6" s="3"/>
      <c r="S6" s="3"/>
      <c r="T6" s="3"/>
      <c r="U6" s="3"/>
      <c r="V6" s="3"/>
      <c r="W6" s="3"/>
      <c r="X6" s="3"/>
      <c r="Y6" s="3"/>
      <c r="Z6" s="3"/>
    </row>
    <row r="7" customFormat="false" ht="14.25" hidden="false" customHeight="tru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4.25" hidden="false" customHeight="tru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4.25" hidden="false" customHeight="tru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4.25" hidden="false" customHeight="tru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4.25" hidden="false" customHeight="tru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4.25" hidden="false" customHeight="tru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4.25" hidden="false" customHeight="tru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4.25" hidden="false" customHeight="tru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4.25" hidden="false" customHeight="tru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4.25" hidden="false" customHeight="tru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4.2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4.2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4.2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4.2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4.2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4.2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4.2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4.2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4.2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4.2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4.2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4.2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4.2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4.2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4.2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4.2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4.2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4.2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4.2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4.2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4.2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4.2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4.2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4.2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4.2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4.2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4.2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4.2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4.2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4.2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4.2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4.2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4.2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4.2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4.2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4.2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4.2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4.2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4.2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4.2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4.2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4.2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4.2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4.2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4.2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4.2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4.2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4.2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4.2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4.2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4.2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4.2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4.2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4.2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4.2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4.2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4.2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4.2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4.2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4.2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4.2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4.2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4.2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4.2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4.2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4.2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4.2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4.2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4.2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4.2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4.2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4.2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4.2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4.2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4.2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4.2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4.2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4.2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4.2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4.2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4.2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4.2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4.2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4.2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4.2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4.2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4.2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4.2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4.2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4.2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4.2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4.2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4.2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4.2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4.2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4.2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4.2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4.2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4.2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4.2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4.2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4.2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4.2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4.2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4.2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4.2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4.2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4.2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4.2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4.2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4.2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4.2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4.2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4.2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4.2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4.2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4.2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4.2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4.2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4.2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4.2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4.2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4.2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4.2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4.2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4.2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4.2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4.2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4.2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4.2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4.2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4.2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4.2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4.2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4.2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4.2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4.2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4.2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4.2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4.2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4.2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4.2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4.2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4.2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4.2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4.2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4.2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4.2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4.2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4.2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4.2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4.2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4.2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4.2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4.2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4.2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4.2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4.2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4.2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4.2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4.2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4.2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4.2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4.2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4.2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4.2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4.2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4.2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4.2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4.2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4.2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4.2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4.2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4.2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4.2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4.2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4.2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4.2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4.2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4.2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4.2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4.2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4.2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4.2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4.2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4.2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4.2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4.2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4.2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4.2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4.2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4.2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4.2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4.2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4.2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4.2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4.2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4.2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4.2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4.2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4.2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4.2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4.2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4.2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Q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0"/>
    <col collapsed="false" customWidth="true" hidden="false" outlineLevel="0" max="10" min="2" style="0" width="16"/>
    <col collapsed="false" customWidth="true" hidden="false" outlineLevel="0" max="11" min="11" style="0" width="19.99"/>
    <col collapsed="false" customWidth="true" hidden="false" outlineLevel="0" max="12" min="12" style="0" width="10"/>
    <col collapsed="false" customWidth="true" hidden="false" outlineLevel="0" max="17" min="13" style="0" width="16"/>
    <col collapsed="false" customWidth="true" hidden="false" outlineLevel="0" max="26" min="18" style="0" width="9.13"/>
  </cols>
  <sheetData>
    <row r="1" customFormat="false" ht="14.25" hidden="false" customHeight="true" outlineLevel="0" collapsed="false">
      <c r="A1" s="33" t="s">
        <v>1662</v>
      </c>
      <c r="B1" s="33" t="s">
        <v>1704</v>
      </c>
      <c r="C1" s="33" t="s">
        <v>1663</v>
      </c>
      <c r="D1" s="33" t="s">
        <v>1664</v>
      </c>
      <c r="E1" s="33" t="s">
        <v>1665</v>
      </c>
      <c r="F1" s="33" t="s">
        <v>1666</v>
      </c>
      <c r="G1" s="33" t="s">
        <v>1667</v>
      </c>
      <c r="H1" s="33" t="s">
        <v>1668</v>
      </c>
      <c r="I1" s="33" t="s">
        <v>1669</v>
      </c>
      <c r="J1" s="33" t="s">
        <v>1670</v>
      </c>
      <c r="K1" s="33" t="s">
        <v>1671</v>
      </c>
      <c r="L1" s="33" t="s">
        <v>1672</v>
      </c>
      <c r="M1" s="33" t="s">
        <v>1674</v>
      </c>
      <c r="N1" s="33" t="s">
        <v>1675</v>
      </c>
      <c r="O1" s="33" t="s">
        <v>1705</v>
      </c>
      <c r="P1" s="33" t="s">
        <v>1244</v>
      </c>
      <c r="Q1" s="33" t="s">
        <v>1676</v>
      </c>
      <c r="R1" s="3"/>
      <c r="S1" s="3"/>
      <c r="T1" s="3"/>
      <c r="U1" s="3"/>
      <c r="V1" s="3"/>
      <c r="W1" s="3"/>
      <c r="X1" s="3"/>
      <c r="Y1" s="3"/>
      <c r="Z1" s="3"/>
    </row>
    <row r="2" customFormat="false" ht="14.25" hidden="false" customHeight="true" outlineLevel="0" collapsed="false">
      <c r="A2" s="9" t="str">
        <f aca="false">HYPERLINK("https://vtmf.veevavault.com/ui/#doc_info/20922470/2/0", "PCI-32765FLR3001-KOR-KR00083-Electronic Source Data Compliance Assessment Questionnaire (ESDCAQ)-19  (v2.0)")</f>
        <v>PCI-32765FLR3001-KOR-KR00083-Electronic Source Data Compliance Assessment Questionnaire (ESDCAQ)-19  (v2.0)</v>
      </c>
      <c r="B2" s="8" t="s">
        <v>1681</v>
      </c>
      <c r="C2" s="8" t="s">
        <v>1677</v>
      </c>
      <c r="D2" s="8" t="s">
        <v>1738</v>
      </c>
      <c r="E2" s="8" t="s">
        <v>1739</v>
      </c>
      <c r="F2" s="8" t="s">
        <v>1740</v>
      </c>
      <c r="G2" s="9" t="str">
        <f aca="false">HYPERLINK("https://vtmf.veevavault.com/ui/#doc_info/20922470/2/0", "VTMF-16340128")</f>
        <v>VTMF-16340128</v>
      </c>
      <c r="H2" s="8"/>
      <c r="I2" s="8" t="s">
        <v>1710</v>
      </c>
      <c r="J2" s="8" t="s">
        <v>1741</v>
      </c>
      <c r="K2" s="14" t="n">
        <v>44761.0959722222</v>
      </c>
      <c r="L2" s="34" t="n">
        <v>44761</v>
      </c>
      <c r="M2" s="8" t="s">
        <v>1682</v>
      </c>
      <c r="N2" s="8" t="s">
        <v>1683</v>
      </c>
      <c r="O2" s="8" t="s">
        <v>1742</v>
      </c>
      <c r="P2" s="8" t="s">
        <v>1743</v>
      </c>
      <c r="Q2" s="8" t="s">
        <v>1744</v>
      </c>
      <c r="R2" s="3"/>
      <c r="S2" s="3"/>
      <c r="T2" s="3"/>
      <c r="U2" s="3"/>
      <c r="V2" s="3"/>
      <c r="W2" s="3"/>
      <c r="X2" s="3"/>
      <c r="Y2" s="3"/>
      <c r="Z2" s="3"/>
    </row>
    <row r="3" customFormat="false" ht="14.25" hidden="false" customHeight="true" outlineLevel="0" collapsed="false">
      <c r="A3" s="9" t="str">
        <f aca="false">HYPERLINK("https://vtmf.veevavault.com/ui/#doc_info/26037180/1/0", "61186372EDI1001-KOR-C21-KR10003-IRB/IEC Composition-01 Mar 2024 (v1.0)")</f>
        <v>61186372EDI1001-KOR-C21-KR10003-IRB/IEC Composition-01 Mar 2024 (v1.0)</v>
      </c>
      <c r="B3" s="8" t="s">
        <v>1689</v>
      </c>
      <c r="C3" s="8" t="s">
        <v>848</v>
      </c>
      <c r="D3" s="8" t="s">
        <v>1745</v>
      </c>
      <c r="E3" s="8" t="s">
        <v>1746</v>
      </c>
      <c r="F3" s="8" t="s">
        <v>1747</v>
      </c>
      <c r="G3" s="9" t="str">
        <f aca="false">HYPERLINK("https://vtmf.veevavault.com/ui/#doc_info/26037180/1/0", "VTMF-20812849")</f>
        <v>VTMF-20812849</v>
      </c>
      <c r="H3" s="8"/>
      <c r="I3" s="8" t="s">
        <v>1710</v>
      </c>
      <c r="J3" s="8" t="s">
        <v>1748</v>
      </c>
      <c r="K3" s="14" t="n">
        <v>45383.053125</v>
      </c>
      <c r="L3" s="34" t="n">
        <v>45384</v>
      </c>
      <c r="M3" s="8" t="s">
        <v>1682</v>
      </c>
      <c r="N3" s="8" t="s">
        <v>1749</v>
      </c>
      <c r="O3" s="8" t="s">
        <v>1750</v>
      </c>
      <c r="P3" s="8" t="s">
        <v>1751</v>
      </c>
      <c r="Q3" s="8" t="s">
        <v>1752</v>
      </c>
      <c r="R3" s="3"/>
      <c r="S3" s="3"/>
      <c r="T3" s="3"/>
      <c r="U3" s="3"/>
      <c r="V3" s="3"/>
      <c r="W3" s="3"/>
      <c r="X3" s="3"/>
      <c r="Y3" s="3"/>
      <c r="Z3" s="3"/>
    </row>
    <row r="4" customFormat="false" ht="14.25" hidden="false" customHeight="true" outlineLevel="0" collapsed="false">
      <c r="A4" s="9" t="str">
        <f aca="false">HYPERLINK("https://vtmf.veevavault.com/ui/#doc_info/24790271/1/0", "17000139BLC3002-KOR-T72-KR10011-IRB/IEC Composition-01 Sep 2023 (v1.0)")</f>
        <v>17000139BLC3002-KOR-T72-KR10011-IRB/IEC Composition-01 Sep 2023 (v1.0)</v>
      </c>
      <c r="B4" s="8" t="s">
        <v>1693</v>
      </c>
      <c r="C4" s="8" t="s">
        <v>848</v>
      </c>
      <c r="D4" s="8" t="s">
        <v>1745</v>
      </c>
      <c r="E4" s="8" t="s">
        <v>1746</v>
      </c>
      <c r="F4" s="8" t="s">
        <v>1753</v>
      </c>
      <c r="G4" s="9" t="str">
        <f aca="false">HYPERLINK("https://vtmf.veevavault.com/ui/#doc_info/24790271/1/0", "VTMF-19717580")</f>
        <v>VTMF-19717580</v>
      </c>
      <c r="H4" s="8"/>
      <c r="I4" s="8" t="s">
        <v>1754</v>
      </c>
      <c r="J4" s="8" t="s">
        <v>1755</v>
      </c>
      <c r="K4" s="14" t="n">
        <v>45182.0015277778</v>
      </c>
      <c r="L4" s="34" t="n">
        <v>45183</v>
      </c>
      <c r="M4" s="8" t="s">
        <v>1682</v>
      </c>
      <c r="N4" s="8" t="s">
        <v>1749</v>
      </c>
      <c r="O4" s="8" t="s">
        <v>1750</v>
      </c>
      <c r="P4" s="8" t="s">
        <v>1756</v>
      </c>
      <c r="Q4" s="8" t="s">
        <v>1757</v>
      </c>
      <c r="R4" s="3"/>
      <c r="S4" s="3"/>
      <c r="T4" s="3"/>
      <c r="U4" s="3"/>
      <c r="V4" s="3"/>
      <c r="W4" s="3"/>
      <c r="X4" s="3"/>
      <c r="Y4" s="3"/>
      <c r="Z4" s="3"/>
    </row>
    <row r="5" customFormat="false" ht="14.25" hidden="false" customHeight="true" outlineLevel="0" collapsed="false">
      <c r="A5" s="9" t="str">
        <f aca="false">HYPERLINK("https://vtmf.veevavault.com/ui/#doc_info/24790272/1/0", "17000139BLC3002-KOR-T72-KR10011-IRB/IEC Composition-01 Sep 2023 (v1.0)")</f>
        <v>17000139BLC3002-KOR-T72-KR10011-IRB/IEC Composition-01 Sep 2023 (v1.0)</v>
      </c>
      <c r="B5" s="8" t="s">
        <v>1696</v>
      </c>
      <c r="C5" s="8" t="s">
        <v>848</v>
      </c>
      <c r="D5" s="8" t="s">
        <v>1745</v>
      </c>
      <c r="E5" s="8" t="s">
        <v>1746</v>
      </c>
      <c r="F5" s="8" t="s">
        <v>1758</v>
      </c>
      <c r="G5" s="9" t="str">
        <f aca="false">HYPERLINK("https://vtmf.veevavault.com/ui/#doc_info/24790272/1/0", "VTMF-19717581")</f>
        <v>VTMF-19717581</v>
      </c>
      <c r="H5" s="8"/>
      <c r="I5" s="8" t="s">
        <v>1754</v>
      </c>
      <c r="J5" s="8" t="s">
        <v>1755</v>
      </c>
      <c r="K5" s="14" t="n">
        <v>45182.0015277778</v>
      </c>
      <c r="L5" s="34" t="n">
        <v>45183</v>
      </c>
      <c r="M5" s="8" t="s">
        <v>1682</v>
      </c>
      <c r="N5" s="8" t="s">
        <v>1749</v>
      </c>
      <c r="O5" s="8" t="s">
        <v>1750</v>
      </c>
      <c r="P5" s="8" t="s">
        <v>1759</v>
      </c>
      <c r="Q5" s="8" t="s">
        <v>1760</v>
      </c>
      <c r="R5" s="3"/>
      <c r="S5" s="3"/>
      <c r="T5" s="3"/>
      <c r="U5" s="3"/>
      <c r="V5" s="3"/>
      <c r="W5" s="3"/>
      <c r="X5" s="3"/>
      <c r="Y5" s="3"/>
      <c r="Z5" s="3"/>
    </row>
    <row r="6" customFormat="false" ht="14.25" hidden="false" customHeight="true" outlineLevel="0" collapsed="false">
      <c r="A6" s="9" t="str">
        <f aca="false">HYPERLINK("https://vtmf.veevavault.com/ui/#doc_info/23886213/1/0", "17000139BLC3002-KOR-T72-KR10011-IRB/IEC Composition-01 Mar 2023 (v1.0)")</f>
        <v>17000139BLC3002-KOR-T72-KR10011-IRB/IEC Composition-01 Mar 2023 (v1.0)</v>
      </c>
      <c r="B6" s="8" t="s">
        <v>1702</v>
      </c>
      <c r="C6" s="8" t="s">
        <v>848</v>
      </c>
      <c r="D6" s="8" t="s">
        <v>1745</v>
      </c>
      <c r="E6" s="8" t="s">
        <v>1746</v>
      </c>
      <c r="F6" s="8" t="s">
        <v>1761</v>
      </c>
      <c r="G6" s="9" t="str">
        <f aca="false">HYPERLINK("https://vtmf.veevavault.com/ui/#doc_info/23886213/1/0", "VTMF-18928158")</f>
        <v>VTMF-18928158</v>
      </c>
      <c r="H6" s="8"/>
      <c r="I6" s="8" t="s">
        <v>1762</v>
      </c>
      <c r="J6" s="8" t="s">
        <v>1763</v>
      </c>
      <c r="K6" s="14" t="n">
        <v>45034.8182291667</v>
      </c>
      <c r="L6" s="34" t="n">
        <v>45034</v>
      </c>
      <c r="M6" s="8" t="s">
        <v>1682</v>
      </c>
      <c r="N6" s="8" t="s">
        <v>1749</v>
      </c>
      <c r="O6" s="8" t="s">
        <v>1764</v>
      </c>
      <c r="P6" s="8" t="s">
        <v>1765</v>
      </c>
      <c r="Q6" s="8" t="s">
        <v>1766</v>
      </c>
      <c r="R6" s="3"/>
      <c r="S6" s="3"/>
      <c r="T6" s="3"/>
      <c r="U6" s="3"/>
      <c r="V6" s="3"/>
      <c r="W6" s="3"/>
      <c r="X6" s="3"/>
      <c r="Y6" s="3"/>
      <c r="Z6" s="3"/>
    </row>
    <row r="7" customFormat="false" ht="14.25" hidden="false" customHeight="tru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4.25" hidden="false" customHeight="tru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4.25" hidden="false" customHeight="tru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4.25" hidden="false" customHeight="tru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4.25" hidden="false" customHeight="tru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4.25" hidden="false" customHeight="tru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4.25" hidden="false" customHeight="tru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4.25" hidden="false" customHeight="tru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4.25" hidden="false" customHeight="tru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4.25" hidden="false" customHeight="tru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4.2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4.2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4.2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4.2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4.2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4.2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4.2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4.2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4.2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4.2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4.2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4.2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4.2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4.2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4.2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4.2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4.2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4.2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4.2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4.2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4.2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4.2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4.2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4.2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4.2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4.2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4.2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4.2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4.2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4.2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4.2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4.2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4.2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4.2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4.2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4.2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4.2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4.2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4.2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4.2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4.2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4.2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4.2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4.2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4.2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4.2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4.2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4.2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4.2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4.2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4.2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4.2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4.2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4.2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4.2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4.2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4.2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4.2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4.2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4.2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4.2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4.2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4.2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4.2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4.2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4.2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4.2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4.2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4.2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4.2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4.2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4.2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4.2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4.2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4.2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4.2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4.2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4.2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4.2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4.2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4.2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4.2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4.2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4.2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4.2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4.2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4.2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4.2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4.2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4.2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4.2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4.2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4.2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4.2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4.2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4.2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4.2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4.2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4.2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4.2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4.2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4.2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4.2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4.2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4.2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4.2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4.2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4.2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4.2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4.2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4.2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4.2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4.2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4.2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4.2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4.2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4.2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4.2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4.2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4.2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4.2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4.2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4.2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4.2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4.2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4.2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4.2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4.2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4.2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4.2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4.2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4.2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4.2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4.2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4.2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4.2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4.2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4.2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4.2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4.2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4.2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4.2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4.2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4.2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4.2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4.2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4.2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4.2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4.2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4.2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4.2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4.2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4.2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4.2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4.2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4.2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4.2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4.2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4.2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4.2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4.2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4.2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4.2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4.2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4.2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4.2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4.2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4.2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4.2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4.2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4.2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4.2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4.2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4.2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4.2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4.2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4.2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4.2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4.2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4.2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4.2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4.2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4.2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4.2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4.2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4.2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4.2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4.2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4.2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4.2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4.2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4.2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4.2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4.2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4.2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4.2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4.2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4.2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4.2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4.2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4.2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4.2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4.2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4.2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2.43"/>
    <col collapsed="false" customWidth="true" hidden="false" outlineLevel="0" max="2" min="2" style="0" width="85"/>
    <col collapsed="false" customWidth="true" hidden="false" outlineLevel="0" max="3" min="3" style="0" width="18.29"/>
    <col collapsed="false" customWidth="true" hidden="false" outlineLevel="0" max="4" min="4" style="0" width="24.42"/>
    <col collapsed="false" customWidth="true" hidden="false" outlineLevel="0" max="5" min="5" style="0" width="26.29"/>
    <col collapsed="false" customWidth="true" hidden="false" outlineLevel="0" max="6" min="6" style="0" width="71.71"/>
    <col collapsed="false" customWidth="true" hidden="false" outlineLevel="0" max="7" min="7" style="0" width="88.57"/>
    <col collapsed="false" customWidth="true" hidden="false" outlineLevel="0" max="8" min="8" style="0" width="20.57"/>
    <col collapsed="false" customWidth="true" hidden="false" outlineLevel="0" max="9" min="9" style="0" width="20.71"/>
    <col collapsed="false" customWidth="true" hidden="false" outlineLevel="0" max="10" min="10" style="0" width="58.29"/>
    <col collapsed="false" customWidth="true" hidden="false" outlineLevel="0" max="11" min="11" style="0" width="14.86"/>
    <col collapsed="false" customWidth="true" hidden="false" outlineLevel="0" max="12" min="12" style="0" width="9"/>
  </cols>
  <sheetData>
    <row r="1" customFormat="false" ht="14.25" hidden="false" customHeight="true" outlineLevel="0" collapsed="false">
      <c r="A1" s="5" t="s">
        <v>119</v>
      </c>
      <c r="B1" s="6" t="s">
        <v>120</v>
      </c>
      <c r="C1" s="7" t="s">
        <v>121</v>
      </c>
      <c r="D1" s="5" t="s">
        <v>122</v>
      </c>
      <c r="E1" s="6" t="s">
        <v>123</v>
      </c>
      <c r="F1" s="6" t="s">
        <v>124</v>
      </c>
      <c r="G1" s="6" t="s">
        <v>125</v>
      </c>
      <c r="H1" s="6" t="s">
        <v>126</v>
      </c>
      <c r="I1" s="5" t="s">
        <v>127</v>
      </c>
      <c r="J1" s="6" t="s">
        <v>128</v>
      </c>
      <c r="K1" s="6" t="s">
        <v>129</v>
      </c>
      <c r="L1" s="6" t="s">
        <v>130</v>
      </c>
    </row>
    <row r="2" customFormat="false" ht="14.25" hidden="false" customHeight="true" outlineLevel="0" collapsed="false">
      <c r="B2" s="8" t="s">
        <v>131</v>
      </c>
      <c r="C2" s="9" t="str">
        <f aca="false">HYPERLINK("https://vtmf.veevavault.com/ui/#doc_info/22057128/1/0", "VTMF-17343749")</f>
        <v>VTMF-17343749</v>
      </c>
      <c r="E2" s="8" t="s">
        <v>132</v>
      </c>
      <c r="F2" s="9" t="str">
        <f aca="false">HYPERLINK("https://vtmf.veevavault.com/ui/#doc_info/1748117/1/0", "09-RHGDF-5-03-KOR--Approval (v1.0)")</f>
        <v>09-RHGDF-5-03-KOR--Approval (v1.0)</v>
      </c>
      <c r="G2" s="8" t="s">
        <v>133</v>
      </c>
      <c r="H2" s="9" t="str">
        <f aca="false">HYPERLINK("https://vtmf.veevavault.com/ui/#doc_info/1748117/1/0", "EDMS-GCO-25942322")</f>
        <v>EDMS-GCO-25942322</v>
      </c>
      <c r="J2" s="8" t="s">
        <v>134</v>
      </c>
      <c r="K2" s="9" t="str">
        <f aca="false">HYPERLINK("https://vtmf.veevavault.com/ui/#doc_info/22999610/1/0", "VTMF-18162901")</f>
        <v>VTMF-18162901</v>
      </c>
    </row>
    <row r="3" customFormat="false" ht="14.25" hidden="false" customHeight="true" outlineLevel="0" collapsed="false">
      <c r="B3" s="8" t="s">
        <v>135</v>
      </c>
      <c r="C3" s="9" t="str">
        <f aca="false">HYPERLINK("https://vtmf.veevavault.com/ui/#doc_info/22057129/5/0", "VTMF-17343750")</f>
        <v>VTMF-17343750</v>
      </c>
      <c r="E3" s="8" t="s">
        <v>132</v>
      </c>
      <c r="F3" s="9" t="str">
        <f aca="false">HYPERLINK("https://vtmf.veevavault.com/ui/#doc_info/1748127/1/0", "09-RHGDF-5-03-KOR--Approval (v1.0)")</f>
        <v>09-RHGDF-5-03-KOR--Approval (v1.0)</v>
      </c>
      <c r="G3" s="8" t="s">
        <v>136</v>
      </c>
      <c r="H3" s="9" t="str">
        <f aca="false">HYPERLINK("https://vtmf.veevavault.com/ui/#doc_info/1748127/1/0", "EDMS-GCO-25942324")</f>
        <v>EDMS-GCO-25942324</v>
      </c>
      <c r="J3" s="8" t="s">
        <v>137</v>
      </c>
      <c r="K3" s="9" t="str">
        <f aca="false">HYPERLINK("https://vtmf.veevavault.com/ui/#doc_info/22999620/1/0", "VTMF-18162911")</f>
        <v>VTMF-18162911</v>
      </c>
    </row>
    <row r="4" customFormat="false" ht="14.25" hidden="false" customHeight="true" outlineLevel="0" collapsed="false">
      <c r="B4" s="8" t="s">
        <v>138</v>
      </c>
      <c r="C4" s="9" t="str">
        <f aca="false">HYPERLINK("https://vtmf.veevavault.com/ui/#doc_info/22439316/1/0", "VTMF-17675043")</f>
        <v>VTMF-17675043</v>
      </c>
      <c r="E4" s="8" t="s">
        <v>132</v>
      </c>
      <c r="F4" s="9" t="str">
        <f aca="false">HYPERLINK("https://vtmf.veevavault.com/ui/#doc_info/1748306/1/0", "09-RHGDF-5-03-KOR--Approval (v1.0)")</f>
        <v>09-RHGDF-5-03-KOR--Approval (v1.0)</v>
      </c>
      <c r="G4" s="8" t="s">
        <v>139</v>
      </c>
      <c r="H4" s="9" t="str">
        <f aca="false">HYPERLINK("https://vtmf.veevavault.com/ui/#doc_info/1748306/1/0", "EDMS-GCO-25942599")</f>
        <v>EDMS-GCO-25942599</v>
      </c>
      <c r="J4" s="8" t="s">
        <v>140</v>
      </c>
      <c r="K4" s="9" t="str">
        <f aca="false">HYPERLINK("https://vtmf.veevavault.com/ui/#doc_info/22664542/1/0", "VTMF-17869629")</f>
        <v>VTMF-17869629</v>
      </c>
    </row>
    <row r="5" customFormat="false" ht="14.25" hidden="false" customHeight="true" outlineLevel="0" collapsed="false">
      <c r="B5" s="8" t="s">
        <v>141</v>
      </c>
      <c r="C5" s="9" t="str">
        <f aca="false">HYPERLINK("https://vtmf.veevavault.com/ui/#doc_info/22569108/6/0", "VTMF-17787496")</f>
        <v>VTMF-17787496</v>
      </c>
      <c r="E5" s="8" t="s">
        <v>132</v>
      </c>
      <c r="F5" s="9" t="str">
        <f aca="false">HYPERLINK("https://vtmf.veevavault.com/ui/#doc_info/1748318/1/0", "09-RHGDF-5-03-KOR--Approval (v1.0)")</f>
        <v>09-RHGDF-5-03-KOR--Approval (v1.0)</v>
      </c>
      <c r="G5" s="8" t="s">
        <v>142</v>
      </c>
      <c r="H5" s="9" t="str">
        <f aca="false">HYPERLINK("https://vtmf.veevavault.com/ui/#doc_info/1748318/1/0", "EDMS-GCO-25942601")</f>
        <v>EDMS-GCO-25942601</v>
      </c>
      <c r="J5" s="8" t="s">
        <v>143</v>
      </c>
      <c r="K5" s="9" t="str">
        <f aca="false">HYPERLINK("https://vtmf.veevavault.com/ui/#doc_info/22664543/1/0", "VTMF-17869630")</f>
        <v>VTMF-17869630</v>
      </c>
    </row>
    <row r="6" customFormat="false" ht="14.25" hidden="false" customHeight="true" outlineLevel="0" collapsed="false">
      <c r="B6" s="8" t="s">
        <v>144</v>
      </c>
      <c r="C6" s="9" t="str">
        <f aca="false">HYPERLINK("https://vtmf.veevavault.com/ui/#doc_info/22569119/1/0", "VTMF-17787507")</f>
        <v>VTMF-17787507</v>
      </c>
      <c r="E6" s="8" t="s">
        <v>132</v>
      </c>
      <c r="F6" s="9" t="str">
        <f aca="false">HYPERLINK("https://vtmf.veevavault.com/ui/#doc_info/1754865/1/0", "09-RHGDF-5-03-KOR--Approval (v1.0)")</f>
        <v>09-RHGDF-5-03-KOR--Approval (v1.0)</v>
      </c>
      <c r="G6" s="8" t="s">
        <v>145</v>
      </c>
      <c r="H6" s="9" t="str">
        <f aca="false">HYPERLINK("https://vtmf.veevavault.com/ui/#doc_info/1754865/1/0", "EDMS-GCO-26411572")</f>
        <v>EDMS-GCO-26411572</v>
      </c>
      <c r="J6" s="8" t="s">
        <v>146</v>
      </c>
      <c r="K6" s="9" t="str">
        <f aca="false">HYPERLINK("https://vtmf.veevavault.com/ui/#doc_info/22664544/1/0", "VTMF-17869631")</f>
        <v>VTMF-17869631</v>
      </c>
    </row>
    <row r="7" customFormat="false" ht="14.25" hidden="false" customHeight="true" outlineLevel="0" collapsed="false">
      <c r="B7" s="8" t="s">
        <v>147</v>
      </c>
      <c r="C7" s="9" t="str">
        <f aca="false">HYPERLINK("https://vtmf.veevavault.com/ui/#doc_info/22646045/1/0", "VTMF-17853711")</f>
        <v>VTMF-17853711</v>
      </c>
      <c r="E7" s="8" t="s">
        <v>132</v>
      </c>
      <c r="F7" s="9" t="str">
        <f aca="false">HYPERLINK("https://vtmf.veevavault.com/ui/#doc_info/1768429/1/0", "09-RHGDF-5-03-KOR--Approval (v1.0)")</f>
        <v>09-RHGDF-5-03-KOR--Approval (v1.0)</v>
      </c>
      <c r="G7" s="8" t="s">
        <v>148</v>
      </c>
      <c r="H7" s="9" t="str">
        <f aca="false">HYPERLINK("https://vtmf.veevavault.com/ui/#doc_info/1768429/1/0", "EDMS-GCO-27653503")</f>
        <v>EDMS-GCO-27653503</v>
      </c>
      <c r="J7" s="8" t="s">
        <v>149</v>
      </c>
      <c r="K7" s="9" t="str">
        <f aca="false">HYPERLINK("https://vtmf.veevavault.com/ui/#doc_info/22664546/1/0", "VTMF-17869633")</f>
        <v>VTMF-17869633</v>
      </c>
    </row>
    <row r="8" customFormat="false" ht="14.25" hidden="false" customHeight="true" outlineLevel="0" collapsed="false">
      <c r="B8" s="8" t="s">
        <v>150</v>
      </c>
      <c r="C8" s="9" t="str">
        <f aca="false">HYPERLINK("https://vtmf.veevavault.com/ui/#doc_info/22650508/5/0", "VTMF-17857645")</f>
        <v>VTMF-17857645</v>
      </c>
      <c r="E8" s="8" t="s">
        <v>132</v>
      </c>
      <c r="F8" s="9" t="str">
        <f aca="false">HYPERLINK("https://vtmf.veevavault.com/ui/#doc_info/1775671/1/0", "09-RHGDF-5-03-KOR--Approval (v1.0)")</f>
        <v>09-RHGDF-5-03-KOR--Approval (v1.0)</v>
      </c>
      <c r="G8" s="8" t="s">
        <v>151</v>
      </c>
      <c r="H8" s="9" t="str">
        <f aca="false">HYPERLINK("https://vtmf.veevavault.com/ui/#doc_info/1775671/1/0", "EDMS-GCO-30299058")</f>
        <v>EDMS-GCO-30299058</v>
      </c>
      <c r="J8" s="8" t="s">
        <v>152</v>
      </c>
      <c r="K8" s="9" t="str">
        <f aca="false">HYPERLINK("https://vtmf.veevavault.com/ui/#doc_info/25940845/1/0", "VTMF-20727703")</f>
        <v>VTMF-20727703</v>
      </c>
    </row>
    <row r="9" customFormat="false" ht="14.25" hidden="false" customHeight="true" outlineLevel="0" collapsed="false">
      <c r="B9" s="8" t="s">
        <v>153</v>
      </c>
      <c r="C9" s="9" t="str">
        <f aca="false">HYPERLINK("https://vtmf.veevavault.com/ui/#doc_info/22652064/1/0", "VTMF-17858964")</f>
        <v>VTMF-17858964</v>
      </c>
      <c r="E9" s="8" t="s">
        <v>132</v>
      </c>
      <c r="F9" s="9" t="str">
        <f aca="false">HYPERLINK("https://vtmf.veevavault.com/ui/#doc_info/1793712/1/0", "09-RHGDF-5-03-KOR--Approval (v1.0)")</f>
        <v>09-RHGDF-5-03-KOR--Approval (v1.0)</v>
      </c>
      <c r="G9" s="8" t="s">
        <v>154</v>
      </c>
      <c r="H9" s="9" t="str">
        <f aca="false">HYPERLINK("https://vtmf.veevavault.com/ui/#doc_info/1793712/1/0", "EDMS-GCO-37463856")</f>
        <v>EDMS-GCO-37463856</v>
      </c>
      <c r="J9" s="8" t="s">
        <v>155</v>
      </c>
      <c r="K9" s="9" t="str">
        <f aca="false">HYPERLINK("https://vtmf.veevavault.com/ui/#doc_info/25940846/1/0", "VTMF-20727704")</f>
        <v>VTMF-20727704</v>
      </c>
    </row>
    <row r="10" customFormat="false" ht="14.25" hidden="false" customHeight="true" outlineLevel="0" collapsed="false">
      <c r="B10" s="8" t="s">
        <v>156</v>
      </c>
      <c r="C10" s="9" t="str">
        <f aca="false">HYPERLINK("https://vtmf.veevavault.com/ui/#doc_info/23116652/3/0", "VTMF-18263604")</f>
        <v>VTMF-18263604</v>
      </c>
      <c r="E10" s="8" t="s">
        <v>132</v>
      </c>
      <c r="F10" s="9" t="str">
        <f aca="false">HYPERLINK("https://vtmf.veevavault.com/ui/#doc_info/1796841/1/0", "09-RHGDF-5-03-KOR--Approval (v1.0)")</f>
        <v>09-RHGDF-5-03-KOR--Approval (v1.0)</v>
      </c>
      <c r="G10" s="8" t="s">
        <v>157</v>
      </c>
      <c r="H10" s="9" t="str">
        <f aca="false">HYPERLINK("https://vtmf.veevavault.com/ui/#doc_info/1796841/1/0", "EDMS-GCO-40668945")</f>
        <v>EDMS-GCO-40668945</v>
      </c>
      <c r="J10" s="8" t="s">
        <v>158</v>
      </c>
      <c r="K10" s="9" t="str">
        <f aca="false">HYPERLINK("https://vtmf.veevavault.com/ui/#doc_info/24394095/1/0", "VTMF-19373572")</f>
        <v>VTMF-19373572</v>
      </c>
    </row>
    <row r="11" customFormat="false" ht="14.25" hidden="false" customHeight="true" outlineLevel="0" collapsed="false">
      <c r="B11" s="8" t="s">
        <v>159</v>
      </c>
      <c r="C11" s="9" t="str">
        <f aca="false">HYPERLINK("https://vtmf.veevavault.com/ui/#doc_info/23404438/1/0", "VTMF-18510934")</f>
        <v>VTMF-18510934</v>
      </c>
      <c r="E11" s="8" t="s">
        <v>132</v>
      </c>
      <c r="F11" s="9" t="str">
        <f aca="false">HYPERLINK("https://vtmf.veevavault.com/ui/#doc_info/1812166/1/0", "09-RHGDF-5-03-KOR--Approval (v1.0)")</f>
        <v>09-RHGDF-5-03-KOR--Approval (v1.0)</v>
      </c>
      <c r="G11" s="8" t="s">
        <v>160</v>
      </c>
      <c r="H11" s="9" t="str">
        <f aca="false">HYPERLINK("https://vtmf.veevavault.com/ui/#doc_info/1812166/1/0", "EDMS-GCO-47504418")</f>
        <v>EDMS-GCO-47504418</v>
      </c>
      <c r="J11" s="8" t="s">
        <v>161</v>
      </c>
      <c r="K11" s="9" t="str">
        <f aca="false">HYPERLINK("https://vtmf.veevavault.com/ui/#doc_info/24394096/1/0", "VTMF-19373573")</f>
        <v>VTMF-19373573</v>
      </c>
    </row>
    <row r="12" customFormat="false" ht="14.25" hidden="false" customHeight="true" outlineLevel="0" collapsed="false">
      <c r="B12" s="8" t="s">
        <v>162</v>
      </c>
      <c r="C12" s="9" t="str">
        <f aca="false">HYPERLINK("https://vtmf.veevavault.com/ui/#doc_info/23454585/2/0", "VTMF-18554838")</f>
        <v>VTMF-18554838</v>
      </c>
      <c r="E12" s="8" t="s">
        <v>132</v>
      </c>
      <c r="F12" s="9" t="str">
        <f aca="false">HYPERLINK("https://vtmf.veevavault.com/ui/#doc_info/1812180/1/0", "09-RHGDF-5-03-KOR--Approval (v1.0)")</f>
        <v>09-RHGDF-5-03-KOR--Approval (v1.0)</v>
      </c>
      <c r="G12" s="8" t="s">
        <v>163</v>
      </c>
      <c r="H12" s="9" t="str">
        <f aca="false">HYPERLINK("https://vtmf.veevavault.com/ui/#doc_info/1812180/1/0", "EDMS-GCO-47504419")</f>
        <v>EDMS-GCO-47504419</v>
      </c>
      <c r="J12" s="8" t="s">
        <v>164</v>
      </c>
      <c r="K12" s="9" t="str">
        <f aca="false">HYPERLINK("https://vtmf.veevavault.com/ui/#doc_info/23794741/1/0", "VTMF-18848215")</f>
        <v>VTMF-18848215</v>
      </c>
    </row>
    <row r="13" customFormat="false" ht="14.25" hidden="false" customHeight="true" outlineLevel="0" collapsed="false">
      <c r="B13" s="8" t="s">
        <v>165</v>
      </c>
      <c r="C13" s="9" t="str">
        <f aca="false">HYPERLINK("https://vtmf.veevavault.com/ui/#doc_info/23455351/1/0", "VTMF-18555508")</f>
        <v>VTMF-18555508</v>
      </c>
      <c r="E13" s="8" t="s">
        <v>132</v>
      </c>
      <c r="F13" s="9" t="str">
        <f aca="false">HYPERLINK("https://vtmf.veevavault.com/ui/#doc_info/1833012/1/0", "09-RHGDF-5-03-KOR--Approval (v1.0)")</f>
        <v>09-RHGDF-5-03-KOR--Approval (v1.0)</v>
      </c>
      <c r="G13" s="8" t="s">
        <v>166</v>
      </c>
      <c r="H13" s="9" t="str">
        <f aca="false">HYPERLINK("https://vtmf.veevavault.com/ui/#doc_info/1833012/1/0", "EDMS-GCO-66135428")</f>
        <v>EDMS-GCO-66135428</v>
      </c>
      <c r="J13" s="8" t="s">
        <v>167</v>
      </c>
      <c r="K13" s="9" t="str">
        <f aca="false">HYPERLINK("https://vtmf.veevavault.com/ui/#doc_info/23794742/1/0", "VTMF-18848216")</f>
        <v>VTMF-18848216</v>
      </c>
    </row>
    <row r="14" customFormat="false" ht="14.25" hidden="false" customHeight="true" outlineLevel="0" collapsed="false">
      <c r="B14" s="8" t="s">
        <v>168</v>
      </c>
      <c r="C14" s="9" t="str">
        <f aca="false">HYPERLINK("https://vtmf.veevavault.com/ui/#doc_info/23572187/2/0", "VTMF-18656117")</f>
        <v>VTMF-18656117</v>
      </c>
      <c r="E14" s="8" t="s">
        <v>132</v>
      </c>
      <c r="F14" s="9" t="str">
        <f aca="false">HYPERLINK("https://vtmf.veevavault.com/ui/#doc_info/1833017/1/0", "09-RHGDF-5-03-KOR--Approval (v1.0)")</f>
        <v>09-RHGDF-5-03-KOR--Approval (v1.0)</v>
      </c>
      <c r="G14" s="8" t="s">
        <v>169</v>
      </c>
      <c r="H14" s="9" t="str">
        <f aca="false">HYPERLINK("https://vtmf.veevavault.com/ui/#doc_info/1833017/1/0", "EDMS-GCO-66135676")</f>
        <v>EDMS-GCO-66135676</v>
      </c>
      <c r="J14" s="8" t="s">
        <v>170</v>
      </c>
      <c r="K14" s="9" t="str">
        <f aca="false">HYPERLINK("https://vtmf.veevavault.com/ui/#doc_info/25377056/1/0", "VTMF-20231996")</f>
        <v>VTMF-20231996</v>
      </c>
    </row>
    <row r="15" customFormat="false" ht="14.25" hidden="false" customHeight="true" outlineLevel="0" collapsed="false">
      <c r="B15" s="8" t="s">
        <v>171</v>
      </c>
      <c r="C15" s="9" t="str">
        <f aca="false">HYPERLINK("https://vtmf.veevavault.com/ui/#doc_info/24027760/1/0", "VTMF-19051472")</f>
        <v>VTMF-19051472</v>
      </c>
      <c r="E15" s="8" t="s">
        <v>132</v>
      </c>
      <c r="F15" s="10" t="str">
        <f aca="false">HYPERLINK("https://vtmf.veevavault.com/ui/#doc_info/19987250/1/0", "Trial3-KOR--Approval-02 Aug 2021 (v1.0)")</f>
        <v>Trial3-KOR--Approval-02 Aug 2021 (v1.0)</v>
      </c>
      <c r="G15" s="8" t="s">
        <v>172</v>
      </c>
      <c r="H15" s="9" t="str">
        <f aca="false">HYPERLINK("https://vtmf.veevavault.com/ui/#doc_info/19987250/1/0", "VTMF-15513268")</f>
        <v>VTMF-15513268</v>
      </c>
      <c r="J15" s="8" t="s">
        <v>173</v>
      </c>
      <c r="K15" s="9" t="str">
        <f aca="false">HYPERLINK("https://vtmf.veevavault.com/ui/#doc_info/25377057/1/0", "VTMF-20231997")</f>
        <v>VTMF-20231997</v>
      </c>
    </row>
    <row r="16" customFormat="false" ht="14.25" hidden="false" customHeight="true" outlineLevel="0" collapsed="false">
      <c r="B16" s="8" t="s">
        <v>174</v>
      </c>
      <c r="C16" s="9" t="str">
        <f aca="false">HYPERLINK("https://vtmf.veevavault.com/ui/#doc_info/24224139/1/0", "VTMF-19226368")</f>
        <v>VTMF-19226368</v>
      </c>
      <c r="E16" s="8" t="s">
        <v>132</v>
      </c>
      <c r="F16" s="10" t="str">
        <f aca="false">HYPERLINK("https://vtmf.veevavault.com/ui/#doc_info/20677201/1/0", "Trial3-KOR--Approval-02 Aug 2021 (v1.0)")</f>
        <v>Trial3-KOR--Approval-02 Aug 2021 (v1.0)</v>
      </c>
      <c r="G16" s="8" t="s">
        <v>175</v>
      </c>
      <c r="H16" s="9" t="str">
        <f aca="false">HYPERLINK("https://vtmf.veevavault.com/ui/#doc_info/20677201/1/0", "VTMF-16123324")</f>
        <v>VTMF-16123324</v>
      </c>
      <c r="J16" s="8" t="s">
        <v>176</v>
      </c>
      <c r="K16" s="9" t="str">
        <f aca="false">HYPERLINK("https://vtmf.veevavault.com/ui/#doc_info/22443718/1/0", "VTMF-17678806")</f>
        <v>VTMF-17678806</v>
      </c>
    </row>
    <row r="17" customFormat="false" ht="14.25" hidden="false" customHeight="true" outlineLevel="0" collapsed="false">
      <c r="B17" s="8" t="s">
        <v>177</v>
      </c>
      <c r="C17" s="9" t="str">
        <f aca="false">HYPERLINK("https://vtmf.veevavault.com/ui/#doc_info/24493513/1/0", "VTMF-19459787")</f>
        <v>VTMF-19459787</v>
      </c>
      <c r="E17" s="8" t="s">
        <v>132</v>
      </c>
      <c r="F17" s="10" t="str">
        <f aca="false">HYPERLINK("https://vtmf.veevavault.com/ui/#doc_info/21960618/1/0", "Trial3-KOR--Approval-10 Jun 2022 (v1.0)")</f>
        <v>Trial3-KOR--Approval-10 Jun 2022 (v1.0)</v>
      </c>
      <c r="G17" s="8" t="s">
        <v>178</v>
      </c>
      <c r="H17" s="9" t="str">
        <f aca="false">HYPERLINK("https://vtmf.veevavault.com/ui/#doc_info/21960618/1/0", "VTMF-17259403")</f>
        <v>VTMF-17259403</v>
      </c>
      <c r="J17" s="8" t="s">
        <v>179</v>
      </c>
      <c r="K17" s="9" t="str">
        <f aca="false">HYPERLINK("https://vtmf.veevavault.com/ui/#doc_info/22443719/1/0", "VTMF-17678807")</f>
        <v>VTMF-17678807</v>
      </c>
    </row>
    <row r="18" customFormat="false" ht="14.25" hidden="false" customHeight="true" outlineLevel="0" collapsed="false">
      <c r="B18" s="8" t="s">
        <v>180</v>
      </c>
      <c r="C18" s="9" t="str">
        <f aca="false">HYPERLINK("https://vtmf.veevavault.com/ui/#doc_info/24494302/1/0", "VTMF-19460511")</f>
        <v>VTMF-19460511</v>
      </c>
      <c r="E18" s="8" t="s">
        <v>132</v>
      </c>
      <c r="F18" s="10" t="str">
        <f aca="false">HYPERLINK("https://vtmf.veevavault.com/ui/#doc_info/21981782/1/0", "Trial3-KOR--Approval-10 Jun 2022 (v1.0)")</f>
        <v>Trial3-KOR--Approval-10 Jun 2022 (v1.0)</v>
      </c>
      <c r="G18" s="8" t="s">
        <v>181</v>
      </c>
      <c r="H18" s="9" t="str">
        <f aca="false">HYPERLINK("https://vtmf.veevavault.com/ui/#doc_info/21981782/1/0", "VTMF-17278184")</f>
        <v>VTMF-17278184</v>
      </c>
    </row>
    <row r="19" customFormat="false" ht="14.25" hidden="false" customHeight="true" outlineLevel="0" collapsed="false">
      <c r="B19" s="8" t="s">
        <v>182</v>
      </c>
      <c r="C19" s="9" t="str">
        <f aca="false">HYPERLINK("https://vtmf.veevavault.com/ui/#doc_info/25002908/1/0", "VTMF-19906466")</f>
        <v>VTMF-19906466</v>
      </c>
      <c r="E19" s="8" t="s">
        <v>132</v>
      </c>
      <c r="F19" s="10" t="str">
        <f aca="false">HYPERLINK("https://vtmf.veevavault.com/ui/#doc_info/21981783/1/0", "Trial3-KOR--Approval-10 Jun 2022 (v1.0)")</f>
        <v>Trial3-KOR--Approval-10 Jun 2022 (v1.0)</v>
      </c>
      <c r="G19" s="8" t="s">
        <v>183</v>
      </c>
      <c r="H19" s="9" t="str">
        <f aca="false">HYPERLINK("https://vtmf.veevavault.com/ui/#doc_info/21981783/1/0", "VTMF-17278185")</f>
        <v>VTMF-17278185</v>
      </c>
    </row>
    <row r="20" customFormat="false" ht="14.25" hidden="false" customHeight="true" outlineLevel="0" collapsed="false">
      <c r="B20" s="8" t="s">
        <v>184</v>
      </c>
      <c r="C20" s="9" t="str">
        <f aca="false">HYPERLINK("https://vtmf.veevavault.com/ui/#doc_info/25044833/1/0", "VTMF-19943140")</f>
        <v>VTMF-19943140</v>
      </c>
      <c r="E20" s="8" t="s">
        <v>132</v>
      </c>
      <c r="F20" s="10" t="str">
        <f aca="false">HYPERLINK("https://vtmf.veevavault.com/ui/#doc_info/24855451/1/0", "Trial3-KOR--Approval-12 Sep 2023 (v1.0)")</f>
        <v>Trial3-KOR--Approval-12 Sep 2023 (v1.0)</v>
      </c>
      <c r="G20" s="8" t="s">
        <v>185</v>
      </c>
      <c r="H20" s="9" t="str">
        <f aca="false">HYPERLINK("https://vtmf.veevavault.com/ui/#doc_info/24855451/1/0", "VTMF-19775201")</f>
        <v>VTMF-19775201</v>
      </c>
    </row>
    <row r="21" customFormat="false" ht="14.25" hidden="false" customHeight="true" outlineLevel="0" collapsed="false">
      <c r="B21" s="8" t="s">
        <v>186</v>
      </c>
      <c r="C21" s="9" t="str">
        <f aca="false">HYPERLINK("https://vtmf.veevavault.com/ui/#doc_info/25044835/1/0", "VTMF-19943142")</f>
        <v>VTMF-19943142</v>
      </c>
      <c r="E21" s="8" t="s">
        <v>132</v>
      </c>
      <c r="F21" s="10" t="str">
        <f aca="false">HYPERLINK("https://vtmf.veevavault.com/ui/#doc_info/24935630/1/0", "Trial3-KOR--Approval-12 Sep 2023 (v1.0)")</f>
        <v>Trial3-KOR--Approval-12 Sep 2023 (v1.0)</v>
      </c>
      <c r="G21" s="8" t="s">
        <v>187</v>
      </c>
      <c r="H21" s="9" t="str">
        <f aca="false">HYPERLINK("https://vtmf.veevavault.com/ui/#doc_info/24935630/1/0", "VTMF-19845277")</f>
        <v>VTMF-19845277</v>
      </c>
    </row>
    <row r="22" customFormat="false" ht="14.25" hidden="false" customHeight="true" outlineLevel="0" collapsed="false">
      <c r="B22" s="8" t="s">
        <v>188</v>
      </c>
      <c r="C22" s="9" t="str">
        <f aca="false">HYPERLINK("https://vtmf.veevavault.com/ui/#doc_info/25044839/1/0", "VTMF-19943146")</f>
        <v>VTMF-19943146</v>
      </c>
      <c r="E22" s="8" t="s">
        <v>132</v>
      </c>
      <c r="F22" s="10" t="str">
        <f aca="false">HYPERLINK("https://vtmf.veevavault.com/ui/#doc_info/24935631/1/0", "Trial3-KOR--Approval-12 Sep 2023 (v1.0)")</f>
        <v>Trial3-KOR--Approval-12 Sep 2023 (v1.0)</v>
      </c>
      <c r="G22" s="8" t="s">
        <v>189</v>
      </c>
      <c r="H22" s="9" t="str">
        <f aca="false">HYPERLINK("https://vtmf.veevavault.com/ui/#doc_info/24935631/1/0", "VTMF-19845278")</f>
        <v>VTMF-19845278</v>
      </c>
    </row>
    <row r="23" customFormat="false" ht="14.25" hidden="false" customHeight="true" outlineLevel="0" collapsed="false">
      <c r="B23" s="8" t="s">
        <v>190</v>
      </c>
      <c r="C23" s="9" t="str">
        <f aca="false">HYPERLINK("https://vtmf.veevavault.com/ui/#doc_info/25090830/1/0", "VTMF-19982980")</f>
        <v>VTMF-19982980</v>
      </c>
      <c r="E23" s="8" t="s">
        <v>132</v>
      </c>
      <c r="F23" s="10" t="str">
        <f aca="false">HYPERLINK("https://vtmf.veevavault.com/ui/#doc_info/19584103/1/0", "Trial3-KOR--Approval-13 May 2021 (v1.0)")</f>
        <v>Trial3-KOR--Approval-13 May 2021 (v1.0)</v>
      </c>
      <c r="G23" s="8" t="s">
        <v>191</v>
      </c>
      <c r="H23" s="9" t="str">
        <f aca="false">HYPERLINK("https://vtmf.veevavault.com/ui/#doc_info/19584103/1/0", "VTMF-15157873")</f>
        <v>VTMF-15157873</v>
      </c>
    </row>
    <row r="24" customFormat="false" ht="14.25" hidden="false" customHeight="true" outlineLevel="0" collapsed="false">
      <c r="B24" s="8" t="s">
        <v>192</v>
      </c>
      <c r="C24" s="9" t="str">
        <f aca="false">HYPERLINK("https://vtmf.veevavault.com/ui/#doc_info/25094334/1/0", "VTMF-19986155")</f>
        <v>VTMF-19986155</v>
      </c>
      <c r="E24" s="8" t="s">
        <v>132</v>
      </c>
      <c r="F24" s="10" t="str">
        <f aca="false">HYPERLINK("https://vtmf.veevavault.com/ui/#doc_info/19584104/1/0", "Trial3-KOR--Approval-13 May 2021 (v1.0)")</f>
        <v>Trial3-KOR--Approval-13 May 2021 (v1.0)</v>
      </c>
      <c r="G24" s="8" t="s">
        <v>193</v>
      </c>
      <c r="H24" s="9" t="str">
        <f aca="false">HYPERLINK("https://vtmf.veevavault.com/ui/#doc_info/19584104/1/0", "VTMF-15157874")</f>
        <v>VTMF-15157874</v>
      </c>
    </row>
    <row r="25" customFormat="false" ht="14.25" hidden="false" customHeight="true" outlineLevel="0" collapsed="false">
      <c r="B25" s="8" t="s">
        <v>194</v>
      </c>
      <c r="C25" s="9" t="str">
        <f aca="false">HYPERLINK("https://vtmf.veevavault.com/ui/#doc_info/25094340/1/0", "VTMF-19986162")</f>
        <v>VTMF-19986162</v>
      </c>
      <c r="E25" s="8" t="s">
        <v>132</v>
      </c>
      <c r="F25" s="10" t="str">
        <f aca="false">HYPERLINK("https://vtmf.veevavault.com/ui/#doc_info/19584662/1/0", "Trial3-KOR--Approval-13 May 2021 (v1.0)")</f>
        <v>Trial3-KOR--Approval-13 May 2021 (v1.0)</v>
      </c>
      <c r="G25" s="8" t="s">
        <v>195</v>
      </c>
      <c r="H25" s="9" t="str">
        <f aca="false">HYPERLINK("https://vtmf.veevavault.com/ui/#doc_info/19584662/1/0", "VTMF-15158349")</f>
        <v>VTMF-15158349</v>
      </c>
    </row>
    <row r="26" customFormat="false" ht="14.25" hidden="false" customHeight="true" outlineLevel="0" collapsed="false">
      <c r="B26" s="8" t="s">
        <v>196</v>
      </c>
      <c r="C26" s="9" t="str">
        <f aca="false">HYPERLINK("https://vtmf.veevavault.com/ui/#doc_info/25158264/1/0", "VTMF-20042139")</f>
        <v>VTMF-20042139</v>
      </c>
      <c r="E26" s="8" t="s">
        <v>132</v>
      </c>
      <c r="F26" s="10" t="str">
        <f aca="false">HYPERLINK("https://vtmf.veevavault.com/ui/#doc_info/19584664/1/0", "Trial3-KOR--Approval-13 May 2021 (v1.0)")</f>
        <v>Trial3-KOR--Approval-13 May 2021 (v1.0)</v>
      </c>
      <c r="G26" s="8" t="s">
        <v>197</v>
      </c>
      <c r="H26" s="9" t="str">
        <f aca="false">HYPERLINK("https://vtmf.veevavault.com/ui/#doc_info/19584664/1/0", "VTMF-15158351")</f>
        <v>VTMF-15158351</v>
      </c>
    </row>
    <row r="27" customFormat="false" ht="14.25" hidden="false" customHeight="true" outlineLevel="0" collapsed="false">
      <c r="B27" s="8" t="s">
        <v>198</v>
      </c>
      <c r="C27" s="9" t="str">
        <f aca="false">HYPERLINK("https://vtmf.veevavault.com/ui/#doc_info/25187258/1/0", "VTMF-20067151")</f>
        <v>VTMF-20067151</v>
      </c>
      <c r="E27" s="8" t="s">
        <v>132</v>
      </c>
      <c r="F27" s="10" t="str">
        <f aca="false">HYPERLINK("https://vtmf.veevavault.com/ui/#doc_info/19235622/1/0", "Trial3-KOR--Approval-15 Apr 2021 (v1.0)")</f>
        <v>Trial3-KOR--Approval-15 Apr 2021 (v1.0)</v>
      </c>
      <c r="G27" s="8" t="s">
        <v>199</v>
      </c>
      <c r="H27" s="9" t="str">
        <f aca="false">HYPERLINK("https://vtmf.veevavault.com/ui/#doc_info/19235622/1/0", "VTMF-14851509")</f>
        <v>VTMF-14851509</v>
      </c>
    </row>
    <row r="28" customFormat="false" ht="14.25" hidden="false" customHeight="true" outlineLevel="0" collapsed="false">
      <c r="B28" s="8" t="s">
        <v>200</v>
      </c>
      <c r="C28" s="9" t="str">
        <f aca="false">HYPERLINK("https://vtmf.veevavault.com/ui/#doc_info/25583595/1/0", "VTMF-20412307")</f>
        <v>VTMF-20412307</v>
      </c>
      <c r="E28" s="8" t="s">
        <v>132</v>
      </c>
      <c r="F28" s="10" t="str">
        <f aca="false">HYPERLINK("https://vtmf.veevavault.com/ui/#doc_info/19235623/1/0", "Trial3-KOR--Approval-15 Apr 2021 (v1.0)")</f>
        <v>Trial3-KOR--Approval-15 Apr 2021 (v1.0)</v>
      </c>
      <c r="G28" s="8" t="s">
        <v>201</v>
      </c>
      <c r="H28" s="9" t="str">
        <f aca="false">HYPERLINK("https://vtmf.veevavault.com/ui/#doc_info/19235623/1/0", "VTMF-14851510")</f>
        <v>VTMF-14851510</v>
      </c>
    </row>
    <row r="29" customFormat="false" ht="14.25" hidden="false" customHeight="true" outlineLevel="0" collapsed="false">
      <c r="B29" s="8" t="s">
        <v>202</v>
      </c>
      <c r="C29" s="9" t="str">
        <f aca="false">HYPERLINK("https://vtmf.veevavault.com/ui/#doc_info/25740239/2/0", "VTMF-20550726")</f>
        <v>VTMF-20550726</v>
      </c>
      <c r="E29" s="8" t="s">
        <v>132</v>
      </c>
      <c r="F29" s="10" t="str">
        <f aca="false">HYPERLINK("https://vtmf.veevavault.com/ui/#doc_info/19235624/1/0", "Trial3-KOR--Approval-15 Apr 2021 (v1.0)")</f>
        <v>Trial3-KOR--Approval-15 Apr 2021 (v1.0)</v>
      </c>
      <c r="G29" s="8" t="s">
        <v>203</v>
      </c>
      <c r="H29" s="9" t="str">
        <f aca="false">HYPERLINK("https://vtmf.veevavault.com/ui/#doc_info/19235624/1/0", "VTMF-14851511")</f>
        <v>VTMF-14851511</v>
      </c>
    </row>
    <row r="30" customFormat="false" ht="14.25" hidden="false" customHeight="true" outlineLevel="0" collapsed="false">
      <c r="B30" s="8" t="s">
        <v>204</v>
      </c>
      <c r="C30" s="9" t="str">
        <f aca="false">HYPERLINK("https://vtmf.veevavault.com/ui/#doc_info/25744652/1/0", "VTMF-20554618")</f>
        <v>VTMF-20554618</v>
      </c>
      <c r="E30" s="8" t="s">
        <v>132</v>
      </c>
      <c r="F30" s="10" t="str">
        <f aca="false">HYPERLINK("https://vtmf.veevavault.com/ui/#doc_info/19584105/1/0", "Trial3-KOR--Approval-18 May 2021 (v1.0)")</f>
        <v>Trial3-KOR--Approval-18 May 2021 (v1.0)</v>
      </c>
      <c r="G30" s="8" t="s">
        <v>205</v>
      </c>
      <c r="H30" s="9" t="str">
        <f aca="false">HYPERLINK("https://vtmf.veevavault.com/ui/#doc_info/19584105/1/0", "VTMF-15157875")</f>
        <v>VTMF-15157875</v>
      </c>
    </row>
    <row r="31" customFormat="false" ht="14.25" hidden="false" customHeight="true" outlineLevel="0" collapsed="false">
      <c r="B31" s="8" t="s">
        <v>206</v>
      </c>
      <c r="C31" s="9" t="str">
        <f aca="false">HYPERLINK("https://vtmf.veevavault.com/ui/#doc_info/26353276/1/0", "VTMF-21088413")</f>
        <v>VTMF-21088413</v>
      </c>
      <c r="E31" s="8" t="s">
        <v>132</v>
      </c>
      <c r="F31" s="10" t="str">
        <f aca="false">HYPERLINK("https://vtmf.veevavault.com/ui/#doc_info/19584663/1/0", "Trial3-KOR--Approval-18 May 2021 (v1.0)")</f>
        <v>Trial3-KOR--Approval-18 May 2021 (v1.0)</v>
      </c>
      <c r="G31" s="8" t="s">
        <v>207</v>
      </c>
      <c r="H31" s="9" t="str">
        <f aca="false">HYPERLINK("https://vtmf.veevavault.com/ui/#doc_info/19584663/1/0", "VTMF-15158350")</f>
        <v>VTMF-15158350</v>
      </c>
    </row>
    <row r="32" customFormat="false" ht="14.25" hidden="false" customHeight="true" outlineLevel="0" collapsed="false">
      <c r="E32" s="8" t="s">
        <v>132</v>
      </c>
      <c r="F32" s="10" t="str">
        <f aca="false">HYPERLINK("https://vtmf.veevavault.com/ui/#doc_info/19987870/2/0", "Trial3-KOR--Approval-19 Jul 2021 (v2.0)")</f>
        <v>Trial3-KOR--Approval-19 Jul 2021 (v2.0)</v>
      </c>
      <c r="G32" s="8" t="s">
        <v>208</v>
      </c>
      <c r="H32" s="9" t="str">
        <f aca="false">HYPERLINK("https://vtmf.veevavault.com/ui/#doc_info/19987870/2/0", "VTMF-15513831")</f>
        <v>VTMF-15513831</v>
      </c>
    </row>
    <row r="33" customFormat="false" ht="14.25" hidden="false" customHeight="true" outlineLevel="0" collapsed="false">
      <c r="E33" s="8" t="s">
        <v>132</v>
      </c>
      <c r="F33" s="10" t="str">
        <f aca="false">HYPERLINK("https://vtmf.veevavault.com/ui/#doc_info/20677417/1/0", "Trial3-KOR--Approval-19 Jul 2021 (v1.0)")</f>
        <v>Trial3-KOR--Approval-19 Jul 2021 (v1.0)</v>
      </c>
      <c r="G33" s="8" t="s">
        <v>209</v>
      </c>
      <c r="H33" s="9" t="str">
        <f aca="false">HYPERLINK("https://vtmf.veevavault.com/ui/#doc_info/20677417/1/0", "VTMF-16123532")</f>
        <v>VTMF-16123532</v>
      </c>
    </row>
    <row r="34" customFormat="false" ht="14.25" hidden="false" customHeight="true" outlineLevel="0" collapsed="false">
      <c r="E34" s="8" t="s">
        <v>132</v>
      </c>
      <c r="F34" s="10" t="str">
        <f aca="false">HYPERLINK("https://vtmf.veevavault.com/ui/#doc_info/20438342/1/0", "Trial3-KOR--Approval-20 Oct 2021 (v1.0)")</f>
        <v>Trial3-KOR--Approval-20 Oct 2021 (v1.0)</v>
      </c>
      <c r="G34" s="8" t="s">
        <v>210</v>
      </c>
      <c r="H34" s="9" t="str">
        <f aca="false">HYPERLINK("https://vtmf.veevavault.com/ui/#doc_info/20438342/1/0", "VTMF-15910838")</f>
        <v>VTMF-15910838</v>
      </c>
    </row>
    <row r="35" customFormat="false" ht="14.25" hidden="false" customHeight="true" outlineLevel="0" collapsed="false">
      <c r="E35" s="8" t="s">
        <v>132</v>
      </c>
      <c r="F35" s="10" t="str">
        <f aca="false">HYPERLINK("https://vtmf.veevavault.com/ui/#doc_info/20438343/1/0", "Trial3-KOR--Approval-20 Oct 2021 (v1.0)")</f>
        <v>Trial3-KOR--Approval-20 Oct 2021 (v1.0)</v>
      </c>
      <c r="G35" s="8" t="s">
        <v>211</v>
      </c>
      <c r="H35" s="9" t="str">
        <f aca="false">HYPERLINK("https://vtmf.veevavault.com/ui/#doc_info/20438343/1/0", "VTMF-15910839")</f>
        <v>VTMF-15910839</v>
      </c>
    </row>
    <row r="36" customFormat="false" ht="14.25" hidden="false" customHeight="true" outlineLevel="0" collapsed="false">
      <c r="E36" s="8" t="s">
        <v>132</v>
      </c>
      <c r="F36" s="10" t="str">
        <f aca="false">HYPERLINK("https://vtmf.veevavault.com/ui/#doc_info/20438344/1/0", "Trial3-KOR--Approval-20 Oct 2021 (v1.0)")</f>
        <v>Trial3-KOR--Approval-20 Oct 2021 (v1.0)</v>
      </c>
      <c r="G36" s="8" t="s">
        <v>212</v>
      </c>
      <c r="H36" s="9" t="str">
        <f aca="false">HYPERLINK("https://vtmf.veevavault.com/ui/#doc_info/20438344/1/0", "VTMF-15910840")</f>
        <v>VTMF-15910840</v>
      </c>
    </row>
    <row r="37" customFormat="false" ht="14.25" hidden="false" customHeight="true" outlineLevel="0" collapsed="false">
      <c r="E37" s="8" t="s">
        <v>132</v>
      </c>
      <c r="F37" s="10" t="str">
        <f aca="false">HYPERLINK("https://vtmf.veevavault.com/ui/#doc_info/20677418/1/0", "Trial3-KOR--Approval-21 Jul 2021 (v1.0)")</f>
        <v>Trial3-KOR--Approval-21 Jul 2021 (v1.0)</v>
      </c>
      <c r="G37" s="8" t="s">
        <v>213</v>
      </c>
      <c r="H37" s="9" t="str">
        <f aca="false">HYPERLINK("https://vtmf.veevavault.com/ui/#doc_info/20677418/1/0", "VTMF-16123533")</f>
        <v>VTMF-16123533</v>
      </c>
    </row>
    <row r="38" customFormat="false" ht="14.25" hidden="false" customHeight="true" outlineLevel="0" collapsed="false">
      <c r="E38" s="8" t="s">
        <v>132</v>
      </c>
      <c r="F38" s="10" t="str">
        <f aca="false">HYPERLINK("https://vtmf.veevavault.com/ui/#doc_info/21623424/1/0", "Trial3-KOR--Approval-21 Jul 2021 (v1.0)")</f>
        <v>Trial3-KOR--Approval-21 Jul 2021 (v1.0)</v>
      </c>
      <c r="G38" s="8" t="s">
        <v>214</v>
      </c>
      <c r="H38" s="9" t="str">
        <f aca="false">HYPERLINK("https://vtmf.veevavault.com/ui/#doc_info/21623424/1/0", "VTMF-16961026")</f>
        <v>VTMF-16961026</v>
      </c>
    </row>
    <row r="39" customFormat="false" ht="14.25" hidden="false" customHeight="true" outlineLevel="0" collapsed="false">
      <c r="E39" s="8" t="s">
        <v>132</v>
      </c>
      <c r="F39" s="10" t="str">
        <f aca="false">HYPERLINK("https://vtmf.veevavault.com/ui/#doc_info/21623425/1/0", "Trial3-KOR--Approval-21 Jul 2021 (v1.0)")</f>
        <v>Trial3-KOR--Approval-21 Jul 2021 (v1.0)</v>
      </c>
      <c r="G39" s="8" t="s">
        <v>215</v>
      </c>
      <c r="H39" s="9" t="str">
        <f aca="false">HYPERLINK("https://vtmf.veevavault.com/ui/#doc_info/21623425/1/0", "VTMF-16961027")</f>
        <v>VTMF-16961027</v>
      </c>
    </row>
    <row r="40" customFormat="false" ht="14.25" hidden="false" customHeight="true" outlineLevel="0" collapsed="false">
      <c r="E40" s="8" t="s">
        <v>132</v>
      </c>
      <c r="F40" s="10" t="str">
        <f aca="false">HYPERLINK("https://vtmf.veevavault.com/ui/#doc_info/21623427/1/0", "Trial3-KOR--Approval-21 Jul 2021 (v1.0)")</f>
        <v>Trial3-KOR--Approval-21 Jul 2021 (v1.0)</v>
      </c>
      <c r="G40" s="8" t="s">
        <v>216</v>
      </c>
      <c r="H40" s="9" t="str">
        <f aca="false">HYPERLINK("https://vtmf.veevavault.com/ui/#doc_info/21623427/1/0", "VTMF-16961028")</f>
        <v>VTMF-16961028</v>
      </c>
    </row>
    <row r="41" customFormat="false" ht="14.25" hidden="false" customHeight="true" outlineLevel="0" collapsed="false">
      <c r="E41" s="8" t="s">
        <v>132</v>
      </c>
      <c r="F41" s="10" t="str">
        <f aca="false">HYPERLINK("https://vtmf.veevavault.com/ui/#doc_info/20844497/1/0", "Trial3-KOR--Approval-22 Dec 2021 (v1.0)")</f>
        <v>Trial3-KOR--Approval-22 Dec 2021 (v1.0)</v>
      </c>
      <c r="G41" s="8" t="s">
        <v>217</v>
      </c>
      <c r="H41" s="9" t="str">
        <f aca="false">HYPERLINK("https://vtmf.veevavault.com/ui/#doc_info/20844497/1/0", "VTMF-16270437")</f>
        <v>VTMF-16270437</v>
      </c>
    </row>
    <row r="42" customFormat="false" ht="14.25" hidden="false" customHeight="true" outlineLevel="0" collapsed="false">
      <c r="E42" s="8" t="s">
        <v>132</v>
      </c>
      <c r="F42" s="10" t="str">
        <f aca="false">HYPERLINK("https://vtmf.veevavault.com/ui/#doc_info/20844498/1/0", "Trial3-KOR--Approval-22 Dec 2021 (v1.0)")</f>
        <v>Trial3-KOR--Approval-22 Dec 2021 (v1.0)</v>
      </c>
      <c r="G42" s="8" t="s">
        <v>218</v>
      </c>
      <c r="H42" s="9" t="str">
        <f aca="false">HYPERLINK("https://vtmf.veevavault.com/ui/#doc_info/20844498/1/0", "VTMF-16270438")</f>
        <v>VTMF-16270438</v>
      </c>
    </row>
    <row r="43" customFormat="false" ht="14.25" hidden="false" customHeight="true" outlineLevel="0" collapsed="false">
      <c r="E43" s="8" t="s">
        <v>132</v>
      </c>
      <c r="F43" s="10" t="str">
        <f aca="false">HYPERLINK("https://vtmf.veevavault.com/ui/#doc_info/20844499/1/0", "Trial3-KOR--Approval-22 Dec 2021 (v1.0)")</f>
        <v>Trial3-KOR--Approval-22 Dec 2021 (v1.0)</v>
      </c>
      <c r="G43" s="8" t="s">
        <v>219</v>
      </c>
      <c r="H43" s="9" t="str">
        <f aca="false">HYPERLINK("https://vtmf.veevavault.com/ui/#doc_info/20844499/1/0", "VTMF-16270439")</f>
        <v>VTMF-16270439</v>
      </c>
    </row>
    <row r="44" customFormat="false" ht="14.25" hidden="false" customHeight="true" outlineLevel="0" collapsed="false">
      <c r="E44" s="8" t="s">
        <v>132</v>
      </c>
      <c r="F44" s="10" t="str">
        <f aca="false">HYPERLINK("https://vtmf.veevavault.com/ui/#doc_info/19591346/1/0", "Trial3-KOR--Approval-25 May 2021 (v1.0)")</f>
        <v>Trial3-KOR--Approval-25 May 2021 (v1.0)</v>
      </c>
      <c r="G44" s="8" t="s">
        <v>220</v>
      </c>
      <c r="H44" s="9" t="str">
        <f aca="false">HYPERLINK("https://vtmf.veevavault.com/ui/#doc_info/19591346/1/0", "VTMF-15164098")</f>
        <v>VTMF-15164098</v>
      </c>
    </row>
    <row r="45" customFormat="false" ht="14.25" hidden="false" customHeight="true" outlineLevel="0" collapsed="false">
      <c r="E45" s="8" t="s">
        <v>132</v>
      </c>
      <c r="F45" s="10" t="str">
        <f aca="false">HYPERLINK("https://vtmf.veevavault.com/ui/#doc_info/19591347/1/0", "Trial3-KOR--Approval-25 May 2021 (v1.0)")</f>
        <v>Trial3-KOR--Approval-25 May 2021 (v1.0)</v>
      </c>
      <c r="G45" s="8" t="s">
        <v>221</v>
      </c>
      <c r="H45" s="9" t="str">
        <f aca="false">HYPERLINK("https://vtmf.veevavault.com/ui/#doc_info/19591347/1/0", "VTMF-15164099")</f>
        <v>VTMF-15164099</v>
      </c>
    </row>
    <row r="46" customFormat="false" ht="14.25" hidden="false" customHeight="true" outlineLevel="0" collapsed="false">
      <c r="E46" s="8" t="s">
        <v>132</v>
      </c>
      <c r="F46" s="10" t="str">
        <f aca="false">HYPERLINK("https://vtmf.veevavault.com/ui/#doc_info/19592387/1/0", "Trial3-KOR--Approval-25 May 2021 (v1.0)")</f>
        <v>Trial3-KOR--Approval-25 May 2021 (v1.0)</v>
      </c>
      <c r="G46" s="8" t="s">
        <v>222</v>
      </c>
      <c r="H46" s="9" t="str">
        <f aca="false">HYPERLINK("https://vtmf.veevavault.com/ui/#doc_info/19592387/1/0", "VTMF-15165010")</f>
        <v>VTMF-15165010</v>
      </c>
    </row>
    <row r="47" customFormat="false" ht="14.25" hidden="false" customHeight="true" outlineLevel="0" collapsed="false">
      <c r="E47" s="8" t="s">
        <v>132</v>
      </c>
      <c r="F47" s="10" t="str">
        <f aca="false">HYPERLINK("https://vtmf.veevavault.com/ui/#doc_info/19592389/1/0", "Trial3-KOR--Approval-25 May 2021 (v1.0)")</f>
        <v>Trial3-KOR--Approval-25 May 2021 (v1.0)</v>
      </c>
      <c r="G47" s="8" t="s">
        <v>223</v>
      </c>
      <c r="H47" s="9" t="str">
        <f aca="false">HYPERLINK("https://vtmf.veevavault.com/ui/#doc_info/19592389/1/0", "VTMF-15165012")</f>
        <v>VTMF-15165012</v>
      </c>
    </row>
    <row r="48" customFormat="false" ht="14.25" hidden="false" customHeight="true" outlineLevel="0" collapsed="false">
      <c r="E48" s="8" t="s">
        <v>132</v>
      </c>
      <c r="F48" s="10" t="str">
        <f aca="false">HYPERLINK("https://vtmf.veevavault.com/ui/#doc_info/19591348/1/0", "Trial3-KOR--Approval-26 May 2021 (v1.0)")</f>
        <v>Trial3-KOR--Approval-26 May 2021 (v1.0)</v>
      </c>
      <c r="G48" s="8" t="s">
        <v>224</v>
      </c>
      <c r="H48" s="9" t="str">
        <f aca="false">HYPERLINK("https://vtmf.veevavault.com/ui/#doc_info/19591348/1/0", "VTMF-15164100")</f>
        <v>VTMF-15164100</v>
      </c>
    </row>
    <row r="49" customFormat="false" ht="14.25" hidden="false" customHeight="true" outlineLevel="0" collapsed="false">
      <c r="E49" s="8" t="s">
        <v>132</v>
      </c>
      <c r="F49" s="10" t="str">
        <f aca="false">HYPERLINK("https://vtmf.veevavault.com/ui/#doc_info/19591349/1/0", "Trial3-KOR--Approval-26 May 2021 (v1.0)")</f>
        <v>Trial3-KOR--Approval-26 May 2021 (v1.0)</v>
      </c>
      <c r="G49" s="8" t="s">
        <v>225</v>
      </c>
      <c r="H49" s="9" t="str">
        <f aca="false">HYPERLINK("https://vtmf.veevavault.com/ui/#doc_info/19591349/1/0", "VTMF-15164101")</f>
        <v>VTMF-15164101</v>
      </c>
    </row>
    <row r="50" customFormat="false" ht="14.25" hidden="false" customHeight="true" outlineLevel="0" collapsed="false">
      <c r="E50" s="8" t="s">
        <v>132</v>
      </c>
      <c r="F50" s="10" t="str">
        <f aca="false">HYPERLINK("https://vtmf.veevavault.com/ui/#doc_info/19592391/1/0", "Trial3-KOR--Approval-26 May 2021 (v1.0)")</f>
        <v>Trial3-KOR--Approval-26 May 2021 (v1.0)</v>
      </c>
      <c r="G50" s="8" t="s">
        <v>226</v>
      </c>
      <c r="H50" s="9" t="str">
        <f aca="false">HYPERLINK("https://vtmf.veevavault.com/ui/#doc_info/19592391/1/0", "VTMF-15165014")</f>
        <v>VTMF-15165014</v>
      </c>
    </row>
    <row r="51" customFormat="false" ht="14.25" hidden="false" customHeight="true" outlineLevel="0" collapsed="false">
      <c r="E51" s="8" t="s">
        <v>132</v>
      </c>
      <c r="F51" s="10" t="str">
        <f aca="false">HYPERLINK("https://vtmf.veevavault.com/ui/#doc_info/19592393/1/0", "Trial3-KOR--Approval-26 May 2021 (v1.0)")</f>
        <v>Trial3-KOR--Approval-26 May 2021 (v1.0)</v>
      </c>
      <c r="G51" s="8" t="s">
        <v>227</v>
      </c>
      <c r="H51" s="9" t="str">
        <f aca="false">HYPERLINK("https://vtmf.veevavault.com/ui/#doc_info/19592393/1/0", "VTMF-15165016")</f>
        <v>VTMF-15165016</v>
      </c>
    </row>
    <row r="52" customFormat="false" ht="14.25" hidden="false" customHeight="true" outlineLevel="0" collapsed="false">
      <c r="E52" s="8" t="s">
        <v>132</v>
      </c>
      <c r="F52" s="10" t="str">
        <f aca="false">HYPERLINK("https://vtmf.veevavault.com/ui/#doc_info/19987248/1/0", "Trial3-KOR--Approval-27 Jul 2021 (v1.0)")</f>
        <v>Trial3-KOR--Approval-27 Jul 2021 (v1.0)</v>
      </c>
      <c r="G52" s="8" t="s">
        <v>228</v>
      </c>
      <c r="H52" s="9" t="str">
        <f aca="false">HYPERLINK("https://vtmf.veevavault.com/ui/#doc_info/19987248/1/0", "VTMF-15513266")</f>
        <v>VTMF-15513266</v>
      </c>
    </row>
    <row r="53" customFormat="false" ht="14.25" hidden="false" customHeight="true" outlineLevel="0" collapsed="false">
      <c r="E53" s="8" t="s">
        <v>132</v>
      </c>
      <c r="F53" s="10" t="str">
        <f aca="false">HYPERLINK("https://vtmf.veevavault.com/ui/#doc_info/19987249/1/0", "Trial3-KOR--Approval-27 Jul 2021 (v1.0)")</f>
        <v>Trial3-KOR--Approval-27 Jul 2021 (v1.0)</v>
      </c>
      <c r="G53" s="8" t="s">
        <v>229</v>
      </c>
      <c r="H53" s="9" t="str">
        <f aca="false">HYPERLINK("https://vtmf.veevavault.com/ui/#doc_info/19987249/1/0", "VTMF-15513267")</f>
        <v>VTMF-15513267</v>
      </c>
    </row>
    <row r="54" customFormat="false" ht="14.25" hidden="false" customHeight="true" outlineLevel="0" collapsed="false">
      <c r="E54" s="8" t="s">
        <v>132</v>
      </c>
      <c r="F54" s="10" t="str">
        <f aca="false">HYPERLINK("https://vtmf.veevavault.com/ui/#doc_info/19987676/2/0", "Trial3-KOR--Approval-27 Jul 2021 (v2.0)")</f>
        <v>Trial3-KOR--Approval-27 Jul 2021 (v2.0)</v>
      </c>
      <c r="G54" s="8" t="s">
        <v>230</v>
      </c>
      <c r="H54" s="9" t="str">
        <f aca="false">HYPERLINK("https://vtmf.veevavault.com/ui/#doc_info/19987676/2/0", "VTMF-15513653")</f>
        <v>VTMF-15513653</v>
      </c>
    </row>
    <row r="55" customFormat="false" ht="14.25" hidden="false" customHeight="true" outlineLevel="0" collapsed="false">
      <c r="E55" s="8" t="s">
        <v>132</v>
      </c>
      <c r="F55" s="10" t="str">
        <f aca="false">HYPERLINK("https://vtmf.veevavault.com/ui/#doc_info/20677200/1/0", "Trial3-KOR--Approval-27 Jul 2021 (v1.0)")</f>
        <v>Trial3-KOR--Approval-27 Jul 2021 (v1.0)</v>
      </c>
      <c r="G55" s="8" t="s">
        <v>231</v>
      </c>
      <c r="H55" s="9" t="str">
        <f aca="false">HYPERLINK("https://vtmf.veevavault.com/ui/#doc_info/20677200/1/0", "VTMF-16123323")</f>
        <v>VTMF-16123323</v>
      </c>
    </row>
    <row r="56" customFormat="false" ht="14.25" hidden="false" customHeight="true" outlineLevel="0" collapsed="false">
      <c r="E56" s="8" t="s">
        <v>132</v>
      </c>
      <c r="F56" s="10" t="str">
        <f aca="false">HYPERLINK("https://vtmf.veevavault.com/ui/#doc_info/20081335/1/0", "Trial3-KOR--Approval-30 Aug 2021 (v1.0)")</f>
        <v>Trial3-KOR--Approval-30 Aug 2021 (v1.0)</v>
      </c>
      <c r="G56" s="8" t="s">
        <v>232</v>
      </c>
      <c r="H56" s="9" t="str">
        <f aca="false">HYPERLINK("https://vtmf.veevavault.com/ui/#doc_info/20081335/1/0", "VTMF-15595687")</f>
        <v>VTMF-15595687</v>
      </c>
    </row>
    <row r="57" customFormat="false" ht="14.25" hidden="false" customHeight="true" outlineLevel="0" collapsed="false">
      <c r="E57" s="8" t="s">
        <v>132</v>
      </c>
      <c r="F57" s="10" t="str">
        <f aca="false">HYPERLINK("https://vtmf.veevavault.com/ui/#doc_info/19592388/1/0", "Trial3-KOR--Approval-31 May 2021 (v1.0)")</f>
        <v>Trial3-KOR--Approval-31 May 2021 (v1.0)</v>
      </c>
      <c r="G57" s="8" t="s">
        <v>233</v>
      </c>
      <c r="H57" s="9" t="str">
        <f aca="false">HYPERLINK("https://vtmf.veevavault.com/ui/#doc_info/19592388/1/0", "VTMF-15165011")</f>
        <v>VTMF-15165011</v>
      </c>
    </row>
    <row r="58" customFormat="false" ht="14.25" hidden="false" customHeight="true" outlineLevel="0" collapsed="false">
      <c r="E58" s="8" t="s">
        <v>132</v>
      </c>
      <c r="F58" s="10" t="str">
        <f aca="false">HYPERLINK("https://vtmf.veevavault.com/ui/#doc_info/19592390/1/0", "Trial3-KOR--Approval-31 May 2021 (v1.0)")</f>
        <v>Trial3-KOR--Approval-31 May 2021 (v1.0)</v>
      </c>
      <c r="G58" s="8" t="s">
        <v>234</v>
      </c>
      <c r="H58" s="9" t="str">
        <f aca="false">HYPERLINK("https://vtmf.veevavault.com/ui/#doc_info/19592390/1/0", "VTMF-15165013")</f>
        <v>VTMF-15165013</v>
      </c>
    </row>
    <row r="59" customFormat="false" ht="14.25" hidden="false" customHeight="true" outlineLevel="0" collapsed="false">
      <c r="E59" s="8" t="s">
        <v>132</v>
      </c>
      <c r="F59" s="10" t="str">
        <f aca="false">HYPERLINK("https://vtmf.veevavault.com/ui/#doc_info/19592394/1/0", "Trial3-KOR--Approval-31 May 2021 (v1.0)")</f>
        <v>Trial3-KOR--Approval-31 May 2021 (v1.0)</v>
      </c>
      <c r="G59" s="8" t="s">
        <v>235</v>
      </c>
      <c r="H59" s="9" t="str">
        <f aca="false">HYPERLINK("https://vtmf.veevavault.com/ui/#doc_info/19592394/1/0", "VTMF-15165017")</f>
        <v>VTMF-15165017</v>
      </c>
    </row>
    <row r="60" customFormat="false" ht="14.25" hidden="false" customHeight="true" outlineLevel="0" collapsed="false">
      <c r="E60" s="8" t="s">
        <v>132</v>
      </c>
      <c r="F60" s="10" t="str">
        <f aca="false">HYPERLINK("https://vtmf.veevavault.com/ui/#doc_info/19592825/1/0", "Trial3-KOR--Approval-31 May 2021 (v1.0)")</f>
        <v>Trial3-KOR--Approval-31 May 2021 (v1.0)</v>
      </c>
      <c r="G60" s="8" t="s">
        <v>236</v>
      </c>
      <c r="H60" s="9" t="str">
        <f aca="false">HYPERLINK("https://vtmf.veevavault.com/ui/#doc_info/19592825/1/0", "VTMF-15165336")</f>
        <v>VTMF-15165336</v>
      </c>
    </row>
    <row r="61" customFormat="false" ht="14.25" hidden="false" customHeight="true" outlineLevel="0" collapsed="false">
      <c r="E61" s="8" t="s">
        <v>132</v>
      </c>
      <c r="F61" s="9" t="str">
        <f aca="false">HYPERLINK("https://vtmf.veevavault.com/ui/#doc_info/24652296/1/0", "17000139BLC2002-KOR--Approval-02 Aug 2023 (v1.0)")</f>
        <v>17000139BLC2002-KOR--Approval-02 Aug 2023 (v1.0)</v>
      </c>
      <c r="G61" s="8" t="s">
        <v>237</v>
      </c>
      <c r="H61" s="9" t="str">
        <f aca="false">HYPERLINK("https://vtmf.veevavault.com/ui/#doc_info/24652296/1/0", "VTMF-19597832")</f>
        <v>VTMF-19597832</v>
      </c>
    </row>
    <row r="62" customFormat="false" ht="14.25" hidden="false" customHeight="true" outlineLevel="0" collapsed="false">
      <c r="E62" s="8" t="s">
        <v>132</v>
      </c>
      <c r="F62" s="9" t="str">
        <f aca="false">HYPERLINK("https://vtmf.veevavault.com/ui/#doc_info/24652297/1/0", "17000139BLC2002-KOR--Approval-02 Aug 2023 (v1.0)")</f>
        <v>17000139BLC2002-KOR--Approval-02 Aug 2023 (v1.0)</v>
      </c>
      <c r="G62" s="8" t="s">
        <v>238</v>
      </c>
      <c r="H62" s="9" t="str">
        <f aca="false">HYPERLINK("https://vtmf.veevavault.com/ui/#doc_info/24652297/1/0", "VTMF-19597816")</f>
        <v>VTMF-19597816</v>
      </c>
    </row>
    <row r="63" customFormat="false" ht="14.25" hidden="false" customHeight="true" outlineLevel="0" collapsed="false">
      <c r="E63" s="8" t="s">
        <v>132</v>
      </c>
      <c r="F63" s="9" t="str">
        <f aca="false">HYPERLINK("https://vtmf.veevavault.com/ui/#doc_info/24652298/1/0", "17000139BLC2002-KOR--Approval-02 Aug 2023 (v1.0)")</f>
        <v>17000139BLC2002-KOR--Approval-02 Aug 2023 (v1.0)</v>
      </c>
      <c r="G63" s="8" t="s">
        <v>239</v>
      </c>
      <c r="H63" s="9" t="str">
        <f aca="false">HYPERLINK("https://vtmf.veevavault.com/ui/#doc_info/24652298/1/0", "VTMF-19597809")</f>
        <v>VTMF-19597809</v>
      </c>
    </row>
    <row r="64" customFormat="false" ht="14.25" hidden="false" customHeight="true" outlineLevel="0" collapsed="false">
      <c r="E64" s="8" t="s">
        <v>132</v>
      </c>
      <c r="F64" s="9" t="str">
        <f aca="false">HYPERLINK("https://vtmf.veevavault.com/ui/#doc_info/24698123/1/0", "17000139BLC2002-KOR--Approval-02 Jan 2023 (v1.0)")</f>
        <v>17000139BLC2002-KOR--Approval-02 Jan 2023 (v1.0)</v>
      </c>
      <c r="G64" s="8" t="s">
        <v>240</v>
      </c>
      <c r="H64" s="9" t="str">
        <f aca="false">HYPERLINK("https://vtmf.veevavault.com/ui/#doc_info/24698123/1/0", "VTMF-19637736")</f>
        <v>VTMF-19637736</v>
      </c>
    </row>
    <row r="65" customFormat="false" ht="14.25" hidden="false" customHeight="true" outlineLevel="0" collapsed="false">
      <c r="E65" s="8" t="s">
        <v>132</v>
      </c>
      <c r="F65" s="9" t="str">
        <f aca="false">HYPERLINK("https://vtmf.veevavault.com/ui/#doc_info/24698985/1/0", "17000139BLC2002-KOR--Approval-02 Jan 2023 (v1.0)")</f>
        <v>17000139BLC2002-KOR--Approval-02 Jan 2023 (v1.0)</v>
      </c>
      <c r="G65" s="8" t="s">
        <v>241</v>
      </c>
      <c r="H65" s="9" t="str">
        <f aca="false">HYPERLINK("https://vtmf.veevavault.com/ui/#doc_info/24698985/1/0", "VTMF-19638585")</f>
        <v>VTMF-19638585</v>
      </c>
    </row>
    <row r="66" customFormat="false" ht="14.25" hidden="false" customHeight="true" outlineLevel="0" collapsed="false">
      <c r="E66" s="8" t="s">
        <v>132</v>
      </c>
      <c r="F66" s="9" t="str">
        <f aca="false">HYPERLINK("https://vtmf.veevavault.com/ui/#doc_info/24698987/1/0", "17000139BLC2002-KOR--Approval-02 Jan 2023 (v1.0)")</f>
        <v>17000139BLC2002-KOR--Approval-02 Jan 2023 (v1.0)</v>
      </c>
      <c r="G66" s="8" t="s">
        <v>242</v>
      </c>
      <c r="H66" s="9" t="str">
        <f aca="false">HYPERLINK("https://vtmf.veevavault.com/ui/#doc_info/24698987/1/0", "VTMF-19638439")</f>
        <v>VTMF-19638439</v>
      </c>
    </row>
    <row r="67" customFormat="false" ht="14.25" hidden="false" customHeight="true" outlineLevel="0" collapsed="false">
      <c r="E67" s="8" t="s">
        <v>132</v>
      </c>
      <c r="F67" s="9" t="str">
        <f aca="false">HYPERLINK("https://vtmf.veevavault.com/ui/#doc_info/24698122/1/0", "17000139BLC2002-KOR--Approval-05 Nov 2021 (v1.0)")</f>
        <v>17000139BLC2002-KOR--Approval-05 Nov 2021 (v1.0)</v>
      </c>
      <c r="G67" s="8" t="s">
        <v>243</v>
      </c>
      <c r="H67" s="9" t="str">
        <f aca="false">HYPERLINK("https://vtmf.veevavault.com/ui/#doc_info/24698122/1/0", "VTMF-19637735")</f>
        <v>VTMF-19637735</v>
      </c>
    </row>
    <row r="68" customFormat="false" ht="14.25" hidden="false" customHeight="true" outlineLevel="0" collapsed="false">
      <c r="E68" s="8" t="s">
        <v>132</v>
      </c>
      <c r="F68" s="9" t="str">
        <f aca="false">HYPERLINK("https://vtmf.veevavault.com/ui/#doc_info/20799032/1/0", "17000139BLC2002-KOR--Approval-07 Dec 2021 (v1.0)")</f>
        <v>17000139BLC2002-KOR--Approval-07 Dec 2021 (v1.0)</v>
      </c>
      <c r="G68" s="8" t="s">
        <v>244</v>
      </c>
      <c r="H68" s="9" t="str">
        <f aca="false">HYPERLINK("https://vtmf.veevavault.com/ui/#doc_info/20799032/1/0", "VTMF-16230938")</f>
        <v>VTMF-16230938</v>
      </c>
    </row>
    <row r="69" customFormat="false" ht="14.25" hidden="false" customHeight="true" outlineLevel="0" collapsed="false">
      <c r="E69" s="8" t="s">
        <v>132</v>
      </c>
      <c r="F69" s="9" t="str">
        <f aca="false">HYPERLINK("https://vtmf.veevavault.com/ui/#doc_info/20799033/1/0", "17000139BLC2002-KOR--Approval-07 Dec 2021 (v1.0)")</f>
        <v>17000139BLC2002-KOR--Approval-07 Dec 2021 (v1.0)</v>
      </c>
      <c r="G69" s="8" t="s">
        <v>245</v>
      </c>
      <c r="H69" s="9" t="str">
        <f aca="false">HYPERLINK("https://vtmf.veevavault.com/ui/#doc_info/20799033/1/0", "VTMF-16230939")</f>
        <v>VTMF-16230939</v>
      </c>
    </row>
    <row r="70" customFormat="false" ht="14.25" hidden="false" customHeight="true" outlineLevel="0" collapsed="false">
      <c r="E70" s="8" t="s">
        <v>132</v>
      </c>
      <c r="F70" s="9" t="str">
        <f aca="false">HYPERLINK("https://vtmf.veevavault.com/ui/#doc_info/20799034/1/0", "17000139BLC2002-KOR--Approval-07 Dec 2021 (v1.0)")</f>
        <v>17000139BLC2002-KOR--Approval-07 Dec 2021 (v1.0)</v>
      </c>
      <c r="G70" s="8" t="s">
        <v>246</v>
      </c>
      <c r="H70" s="9" t="str">
        <f aca="false">HYPERLINK("https://vtmf.veevavault.com/ui/#doc_info/20799034/1/0", "VTMF-16230940")</f>
        <v>VTMF-16230940</v>
      </c>
    </row>
    <row r="71" customFormat="false" ht="14.25" hidden="false" customHeight="true" outlineLevel="0" collapsed="false">
      <c r="E71" s="8" t="s">
        <v>132</v>
      </c>
      <c r="F71" s="9" t="str">
        <f aca="false">HYPERLINK("https://vtmf.veevavault.com/ui/#doc_info/20799035/1/0", "17000139BLC2002-KOR--Approval-07 Dec 2021 (v1.0)")</f>
        <v>17000139BLC2002-KOR--Approval-07 Dec 2021 (v1.0)</v>
      </c>
      <c r="G71" s="8" t="s">
        <v>247</v>
      </c>
      <c r="H71" s="9" t="str">
        <f aca="false">HYPERLINK("https://vtmf.veevavault.com/ui/#doc_info/20799035/1/0", "VTMF-16230941")</f>
        <v>VTMF-16230941</v>
      </c>
    </row>
    <row r="72" customFormat="false" ht="14.25" hidden="false" customHeight="true" outlineLevel="0" collapsed="false">
      <c r="E72" s="8" t="s">
        <v>132</v>
      </c>
      <c r="F72" s="9" t="str">
        <f aca="false">HYPERLINK("https://vtmf.veevavault.com/ui/#doc_info/20799036/1/0", "17000139BLC2002-KOR--Approval-07 Dec 2021 (v1.0)")</f>
        <v>17000139BLC2002-KOR--Approval-07 Dec 2021 (v1.0)</v>
      </c>
      <c r="G72" s="8" t="s">
        <v>248</v>
      </c>
      <c r="H72" s="9" t="str">
        <f aca="false">HYPERLINK("https://vtmf.veevavault.com/ui/#doc_info/20799036/1/0", "VTMF-16230942")</f>
        <v>VTMF-16230942</v>
      </c>
    </row>
    <row r="73" customFormat="false" ht="14.25" hidden="false" customHeight="true" outlineLevel="0" collapsed="false">
      <c r="E73" s="8" t="s">
        <v>132</v>
      </c>
      <c r="F73" s="9" t="str">
        <f aca="false">HYPERLINK("https://vtmf.veevavault.com/ui/#doc_info/20799037/1/0", "17000139BLC2002-KOR--Approval-07 Dec 2021 (v1.0)")</f>
        <v>17000139BLC2002-KOR--Approval-07 Dec 2021 (v1.0)</v>
      </c>
      <c r="G73" s="8" t="s">
        <v>249</v>
      </c>
      <c r="H73" s="9" t="str">
        <f aca="false">HYPERLINK("https://vtmf.veevavault.com/ui/#doc_info/20799037/1/0", "VTMF-16230943")</f>
        <v>VTMF-16230943</v>
      </c>
    </row>
    <row r="74" customFormat="false" ht="14.25" hidden="false" customHeight="true" outlineLevel="0" collapsed="false">
      <c r="E74" s="8" t="s">
        <v>132</v>
      </c>
      <c r="F74" s="9" t="str">
        <f aca="false">HYPERLINK("https://vtmf.veevavault.com/ui/#doc_info/20799038/1/0", "17000139BLC2002-KOR--Approval-07 Dec 2021 (v1.0)")</f>
        <v>17000139BLC2002-KOR--Approval-07 Dec 2021 (v1.0)</v>
      </c>
      <c r="G74" s="8" t="s">
        <v>250</v>
      </c>
      <c r="H74" s="9" t="str">
        <f aca="false">HYPERLINK("https://vtmf.veevavault.com/ui/#doc_info/20799038/1/0", "VTMF-16230944")</f>
        <v>VTMF-16230944</v>
      </c>
    </row>
    <row r="75" customFormat="false" ht="14.25" hidden="false" customHeight="true" outlineLevel="0" collapsed="false">
      <c r="E75" s="8" t="s">
        <v>132</v>
      </c>
      <c r="F75" s="9" t="str">
        <f aca="false">HYPERLINK("https://vtmf.veevavault.com/ui/#doc_info/20799039/1/0", "17000139BLC2002-KOR--Approval-07 Dec 2021 (v1.0)")</f>
        <v>17000139BLC2002-KOR--Approval-07 Dec 2021 (v1.0)</v>
      </c>
      <c r="G75" s="8" t="s">
        <v>251</v>
      </c>
      <c r="H75" s="9" t="str">
        <f aca="false">HYPERLINK("https://vtmf.veevavault.com/ui/#doc_info/20799039/1/0", "VTMF-16230945")</f>
        <v>VTMF-16230945</v>
      </c>
    </row>
    <row r="76" customFormat="false" ht="14.25" hidden="false" customHeight="true" outlineLevel="0" collapsed="false">
      <c r="E76" s="8" t="s">
        <v>132</v>
      </c>
      <c r="F76" s="9" t="str">
        <f aca="false">HYPERLINK("https://vtmf.veevavault.com/ui/#doc_info/20799040/1/0", "17000139BLC2002-KOR--Approval-07 Dec 2021 (v1.0)")</f>
        <v>17000139BLC2002-KOR--Approval-07 Dec 2021 (v1.0)</v>
      </c>
      <c r="G76" s="8" t="s">
        <v>252</v>
      </c>
      <c r="H76" s="9" t="str">
        <f aca="false">HYPERLINK("https://vtmf.veevavault.com/ui/#doc_info/20799040/1/0", "VTMF-16230946")</f>
        <v>VTMF-16230946</v>
      </c>
    </row>
    <row r="77" customFormat="false" ht="14.25" hidden="false" customHeight="true" outlineLevel="0" collapsed="false">
      <c r="E77" s="8" t="s">
        <v>132</v>
      </c>
      <c r="F77" s="9" t="str">
        <f aca="false">HYPERLINK("https://vtmf.veevavault.com/ui/#doc_info/20799044/1/0", "17000139BLC2002-KOR--Approval-07 Dec 2021 (v1.0)")</f>
        <v>17000139BLC2002-KOR--Approval-07 Dec 2021 (v1.0)</v>
      </c>
      <c r="G77" s="8" t="s">
        <v>253</v>
      </c>
      <c r="H77" s="9" t="str">
        <f aca="false">HYPERLINK("https://vtmf.veevavault.com/ui/#doc_info/20799044/1/0", "VTMF-16230950")</f>
        <v>VTMF-16230950</v>
      </c>
    </row>
    <row r="78" customFormat="false" ht="14.25" hidden="false" customHeight="true" outlineLevel="0" collapsed="false">
      <c r="E78" s="8" t="s">
        <v>132</v>
      </c>
      <c r="F78" s="9" t="str">
        <f aca="false">HYPERLINK("https://vtmf.veevavault.com/ui/#doc_info/20799045/1/0", "17000139BLC2002-KOR--Approval-07 Dec 2021 (v1.0)")</f>
        <v>17000139BLC2002-KOR--Approval-07 Dec 2021 (v1.0)</v>
      </c>
      <c r="G78" s="8" t="s">
        <v>254</v>
      </c>
      <c r="H78" s="9" t="str">
        <f aca="false">HYPERLINK("https://vtmf.veevavault.com/ui/#doc_info/20799045/1/0", "VTMF-16230951")</f>
        <v>VTMF-16230951</v>
      </c>
    </row>
    <row r="79" customFormat="false" ht="14.25" hidden="false" customHeight="true" outlineLevel="0" collapsed="false">
      <c r="E79" s="8" t="s">
        <v>132</v>
      </c>
      <c r="F79" s="9" t="str">
        <f aca="false">HYPERLINK("https://vtmf.veevavault.com/ui/#doc_info/20799046/1/0", "17000139BLC2002-KOR--Approval-07 Dec 2021 (v1.0)")</f>
        <v>17000139BLC2002-KOR--Approval-07 Dec 2021 (v1.0)</v>
      </c>
      <c r="G79" s="8" t="s">
        <v>255</v>
      </c>
      <c r="H79" s="9" t="str">
        <f aca="false">HYPERLINK("https://vtmf.veevavault.com/ui/#doc_info/20799046/1/0", "VTMF-16230952")</f>
        <v>VTMF-16230952</v>
      </c>
    </row>
    <row r="80" customFormat="false" ht="14.25" hidden="false" customHeight="true" outlineLevel="0" collapsed="false">
      <c r="E80" s="8" t="s">
        <v>132</v>
      </c>
      <c r="F80" s="9" t="str">
        <f aca="false">HYPERLINK("https://vtmf.veevavault.com/ui/#doc_info/20799041/1/0", "17000139BLC2002-KOR--Approval-09 Dec 2021 (v1.0)")</f>
        <v>17000139BLC2002-KOR--Approval-09 Dec 2021 (v1.0)</v>
      </c>
      <c r="G80" s="8" t="s">
        <v>256</v>
      </c>
      <c r="H80" s="9" t="str">
        <f aca="false">HYPERLINK("https://vtmf.veevavault.com/ui/#doc_info/20799041/1/0", "VTMF-16230947")</f>
        <v>VTMF-16230947</v>
      </c>
    </row>
    <row r="81" customFormat="false" ht="14.25" hidden="false" customHeight="true" outlineLevel="0" collapsed="false">
      <c r="E81" s="8" t="s">
        <v>132</v>
      </c>
      <c r="F81" s="9" t="str">
        <f aca="false">HYPERLINK("https://vtmf.veevavault.com/ui/#doc_info/20799042/1/0", "17000139BLC2002-KOR--Approval-09 Dec 2021 (v1.0)")</f>
        <v>17000139BLC2002-KOR--Approval-09 Dec 2021 (v1.0)</v>
      </c>
      <c r="G81" s="8" t="s">
        <v>257</v>
      </c>
      <c r="H81" s="9" t="str">
        <f aca="false">HYPERLINK("https://vtmf.veevavault.com/ui/#doc_info/20799042/1/0", "VTMF-16230948")</f>
        <v>VTMF-16230948</v>
      </c>
    </row>
    <row r="82" customFormat="false" ht="14.25" hidden="false" customHeight="true" outlineLevel="0" collapsed="false">
      <c r="E82" s="8" t="s">
        <v>132</v>
      </c>
      <c r="F82" s="9" t="str">
        <f aca="false">HYPERLINK("https://vtmf.veevavault.com/ui/#doc_info/20799043/1/0", "17000139BLC2002-KOR--Approval-09 Dec 2021 (v1.0)")</f>
        <v>17000139BLC2002-KOR--Approval-09 Dec 2021 (v1.0)</v>
      </c>
      <c r="G82" s="8" t="s">
        <v>258</v>
      </c>
      <c r="H82" s="9" t="str">
        <f aca="false">HYPERLINK("https://vtmf.veevavault.com/ui/#doc_info/20799043/1/0", "VTMF-16230949")</f>
        <v>VTMF-16230949</v>
      </c>
    </row>
    <row r="83" customFormat="false" ht="14.25" hidden="false" customHeight="true" outlineLevel="0" collapsed="false">
      <c r="E83" s="8" t="s">
        <v>132</v>
      </c>
      <c r="F83" s="9" t="str">
        <f aca="false">HYPERLINK("https://vtmf.veevavault.com/ui/#doc_info/20657937/1/0", "17000139BLC2002-KOR--Approval-10 Nov 2021 (v1.0)")</f>
        <v>17000139BLC2002-KOR--Approval-10 Nov 2021 (v1.0)</v>
      </c>
      <c r="G83" s="8" t="s">
        <v>259</v>
      </c>
      <c r="H83" s="9" t="str">
        <f aca="false">HYPERLINK("https://vtmf.veevavault.com/ui/#doc_info/20657937/1/0", "VTMF-16106124")</f>
        <v>VTMF-16106124</v>
      </c>
    </row>
    <row r="84" customFormat="false" ht="14.25" hidden="false" customHeight="true" outlineLevel="0" collapsed="false">
      <c r="E84" s="8" t="s">
        <v>132</v>
      </c>
      <c r="F84" s="9" t="str">
        <f aca="false">HYPERLINK("https://vtmf.veevavault.com/ui/#doc_info/20657968/1/0", "17000139BLC2002-KOR--Approval-10 Nov 2021 (v1.0)")</f>
        <v>17000139BLC2002-KOR--Approval-10 Nov 2021 (v1.0)</v>
      </c>
      <c r="G84" s="8" t="s">
        <v>260</v>
      </c>
      <c r="H84" s="9" t="str">
        <f aca="false">HYPERLINK("https://vtmf.veevavault.com/ui/#doc_info/20657968/1/0", "VTMF-16106153")</f>
        <v>VTMF-16106153</v>
      </c>
    </row>
    <row r="85" customFormat="false" ht="14.25" hidden="false" customHeight="true" outlineLevel="0" collapsed="false">
      <c r="E85" s="8" t="s">
        <v>132</v>
      </c>
      <c r="F85" s="9" t="str">
        <f aca="false">HYPERLINK("https://vtmf.veevavault.com/ui/#doc_info/20658034/1/0", "17000139BLC2002-KOR--Approval-10 Nov 2021 (v1.0)")</f>
        <v>17000139BLC2002-KOR--Approval-10 Nov 2021 (v1.0)</v>
      </c>
      <c r="G85" s="8" t="s">
        <v>261</v>
      </c>
      <c r="H85" s="9" t="str">
        <f aca="false">HYPERLINK("https://vtmf.veevavault.com/ui/#doc_info/20658034/1/0", "VTMF-16106218")</f>
        <v>VTMF-16106218</v>
      </c>
    </row>
    <row r="86" customFormat="false" ht="14.25" hidden="false" customHeight="true" outlineLevel="0" collapsed="false">
      <c r="E86" s="8" t="s">
        <v>132</v>
      </c>
      <c r="F86" s="9" t="str">
        <f aca="false">HYPERLINK("https://vtmf.veevavault.com/ui/#doc_info/20799047/1/0", "17000139BLC2002-KOR--Approval-13 Dec 2021 (v1.0)")</f>
        <v>17000139BLC2002-KOR--Approval-13 Dec 2021 (v1.0)</v>
      </c>
      <c r="G86" s="8" t="s">
        <v>262</v>
      </c>
      <c r="H86" s="9" t="str">
        <f aca="false">HYPERLINK("https://vtmf.veevavault.com/ui/#doc_info/20799047/1/0", "VTMF-16230953")</f>
        <v>VTMF-16230953</v>
      </c>
    </row>
    <row r="87" customFormat="false" ht="14.25" hidden="false" customHeight="true" outlineLevel="0" collapsed="false">
      <c r="E87" s="8" t="s">
        <v>132</v>
      </c>
      <c r="F87" s="9" t="str">
        <f aca="false">HYPERLINK("https://vtmf.veevavault.com/ui/#doc_info/20799048/1/0", "17000139BLC2002-KOR--Approval-13 Dec 2021 (v1.0)")</f>
        <v>17000139BLC2002-KOR--Approval-13 Dec 2021 (v1.0)</v>
      </c>
      <c r="G87" s="8" t="s">
        <v>263</v>
      </c>
      <c r="H87" s="9" t="str">
        <f aca="false">HYPERLINK("https://vtmf.veevavault.com/ui/#doc_info/20799048/1/0", "VTMF-16230954")</f>
        <v>VTMF-16230954</v>
      </c>
    </row>
    <row r="88" customFormat="false" ht="14.25" hidden="false" customHeight="true" outlineLevel="0" collapsed="false">
      <c r="E88" s="8" t="s">
        <v>132</v>
      </c>
      <c r="F88" s="9" t="str">
        <f aca="false">HYPERLINK("https://vtmf.veevavault.com/ui/#doc_info/20799049/1/0", "17000139BLC2002-KOR--Approval-13 Dec 2021 (v1.0)")</f>
        <v>17000139BLC2002-KOR--Approval-13 Dec 2021 (v1.0)</v>
      </c>
      <c r="G88" s="8" t="s">
        <v>264</v>
      </c>
      <c r="H88" s="9" t="str">
        <f aca="false">HYPERLINK("https://vtmf.veevavault.com/ui/#doc_info/20799049/1/0", "VTMF-16230955")</f>
        <v>VTMF-16230955</v>
      </c>
    </row>
    <row r="89" customFormat="false" ht="14.25" hidden="false" customHeight="true" outlineLevel="0" collapsed="false">
      <c r="E89" s="8" t="s">
        <v>132</v>
      </c>
      <c r="F89" s="9" t="str">
        <f aca="false">HYPERLINK("https://vtmf.veevavault.com/ui/#doc_info/20799050/1/0", "17000139BLC2002-KOR--Approval-13 Dec 2021 (v1.0)")</f>
        <v>17000139BLC2002-KOR--Approval-13 Dec 2021 (v1.0)</v>
      </c>
      <c r="G89" s="8" t="s">
        <v>265</v>
      </c>
      <c r="H89" s="9" t="str">
        <f aca="false">HYPERLINK("https://vtmf.veevavault.com/ui/#doc_info/20799050/1/0", "VTMF-16230956")</f>
        <v>VTMF-16230956</v>
      </c>
    </row>
    <row r="90" customFormat="false" ht="14.25" hidden="false" customHeight="true" outlineLevel="0" collapsed="false">
      <c r="E90" s="8" t="s">
        <v>132</v>
      </c>
      <c r="F90" s="9" t="str">
        <f aca="false">HYPERLINK("https://vtmf.veevavault.com/ui/#doc_info/20799051/1/0", "17000139BLC2002-KOR--Approval-13 Dec 2021 (v1.0)")</f>
        <v>17000139BLC2002-KOR--Approval-13 Dec 2021 (v1.0)</v>
      </c>
      <c r="G90" s="8" t="s">
        <v>266</v>
      </c>
      <c r="H90" s="9" t="str">
        <f aca="false">HYPERLINK("https://vtmf.veevavault.com/ui/#doc_info/20799051/1/0", "VTMF-16230957")</f>
        <v>VTMF-16230957</v>
      </c>
    </row>
    <row r="91" customFormat="false" ht="14.25" hidden="false" customHeight="true" outlineLevel="0" collapsed="false">
      <c r="E91" s="8" t="s">
        <v>132</v>
      </c>
      <c r="F91" s="9" t="str">
        <f aca="false">HYPERLINK("https://vtmf.veevavault.com/ui/#doc_info/20799052/1/0", "17000139BLC2002-KOR--Approval-13 Dec 2021 (v1.0)")</f>
        <v>17000139BLC2002-KOR--Approval-13 Dec 2021 (v1.0)</v>
      </c>
      <c r="G91" s="8" t="s">
        <v>267</v>
      </c>
      <c r="H91" s="9" t="str">
        <f aca="false">HYPERLINK("https://vtmf.veevavault.com/ui/#doc_info/20799052/1/0", "VTMF-16230958")</f>
        <v>VTMF-16230958</v>
      </c>
    </row>
    <row r="92" customFormat="false" ht="14.25" hidden="false" customHeight="true" outlineLevel="0" collapsed="false">
      <c r="E92" s="8" t="s">
        <v>132</v>
      </c>
      <c r="F92" s="9" t="str">
        <f aca="false">HYPERLINK("https://vtmf.veevavault.com/ui/#doc_info/22283195/1/0", "17000139BLC2002-KOR--Approval-28 Jul 2022 (v1.0)")</f>
        <v>17000139BLC2002-KOR--Approval-28 Jul 2022 (v1.0)</v>
      </c>
      <c r="G92" s="8" t="s">
        <v>268</v>
      </c>
      <c r="H92" s="9" t="str">
        <f aca="false">HYPERLINK("https://vtmf.veevavault.com/ui/#doc_info/22283195/1/0", "VTMF-17540233")</f>
        <v>VTMF-17540233</v>
      </c>
    </row>
    <row r="93" customFormat="false" ht="14.25" hidden="false" customHeight="true" outlineLevel="0" collapsed="false">
      <c r="E93" s="8" t="s">
        <v>132</v>
      </c>
      <c r="F93" s="9" t="str">
        <f aca="false">HYPERLINK("https://vtmf.veevavault.com/ui/#doc_info/22317820/1/0", "17000139BLC2002-KOR--Approval-28 Jul 2022 (v1.0)")</f>
        <v>17000139BLC2002-KOR--Approval-28 Jul 2022 (v1.0)</v>
      </c>
      <c r="G93" s="8" t="s">
        <v>269</v>
      </c>
      <c r="H93" s="9" t="str">
        <f aca="false">HYPERLINK("https://vtmf.veevavault.com/ui/#doc_info/22317820/1/0", "VTMF-17569765")</f>
        <v>VTMF-17569765</v>
      </c>
    </row>
    <row r="94" customFormat="false" ht="14.25" hidden="false" customHeight="true" outlineLevel="0" collapsed="false">
      <c r="E94" s="8" t="s">
        <v>132</v>
      </c>
      <c r="F94" s="9" t="str">
        <f aca="false">HYPERLINK("https://vtmf.veevavault.com/ui/#doc_info/22317821/1/0", "17000139BLC2002-KOR--Approval-28 Jul 2022 (v1.0)")</f>
        <v>17000139BLC2002-KOR--Approval-28 Jul 2022 (v1.0)</v>
      </c>
      <c r="G94" s="8" t="s">
        <v>270</v>
      </c>
      <c r="H94" s="9" t="str">
        <f aca="false">HYPERLINK("https://vtmf.veevavault.com/ui/#doc_info/22317821/1/0", "VTMF-17569766")</f>
        <v>VTMF-17569766</v>
      </c>
    </row>
    <row r="95" customFormat="false" ht="14.25" hidden="false" customHeight="true" outlineLevel="0" collapsed="false">
      <c r="E95" s="8" t="s">
        <v>132</v>
      </c>
      <c r="F95" s="9" t="str">
        <f aca="false">HYPERLINK("https://vtmf.veevavault.com/ui/#doc_info/19998888/1/0", "17000139BLC3001-KOR--Approval-01 Jul 2021 (v1.0)")</f>
        <v>17000139BLC3001-KOR--Approval-01 Jul 2021 (v1.0)</v>
      </c>
      <c r="G95" s="8" t="s">
        <v>271</v>
      </c>
      <c r="H95" s="9" t="str">
        <f aca="false">HYPERLINK("https://vtmf.veevavault.com/ui/#doc_info/19998888/1/0", "VTMF-15523654")</f>
        <v>VTMF-15523654</v>
      </c>
    </row>
    <row r="96" customFormat="false" ht="14.25" hidden="false" customHeight="true" outlineLevel="0" collapsed="false">
      <c r="E96" s="8" t="s">
        <v>132</v>
      </c>
      <c r="F96" s="9" t="str">
        <f aca="false">HYPERLINK("https://vtmf.veevavault.com/ui/#doc_info/19999038/1/0", "17000139BLC3001-KOR--Approval-01 Jul 2021 (v1.0)")</f>
        <v>17000139BLC3001-KOR--Approval-01 Jul 2021 (v1.0)</v>
      </c>
      <c r="G96" s="8" t="s">
        <v>272</v>
      </c>
      <c r="H96" s="9" t="str">
        <f aca="false">HYPERLINK("https://vtmf.veevavault.com/ui/#doc_info/19999038/1/0", "VTMF-15523796")</f>
        <v>VTMF-15523796</v>
      </c>
    </row>
    <row r="97" customFormat="false" ht="14.25" hidden="false" customHeight="true" outlineLevel="0" collapsed="false">
      <c r="E97" s="8" t="s">
        <v>132</v>
      </c>
      <c r="F97" s="9" t="str">
        <f aca="false">HYPERLINK("https://vtmf.veevavault.com/ui/#doc_info/19999208/1/0", "17000139BLC3001-KOR--Approval-02 Aug 2021 (v1.0)")</f>
        <v>17000139BLC3001-KOR--Approval-02 Aug 2021 (v1.0)</v>
      </c>
      <c r="G97" s="8" t="s">
        <v>273</v>
      </c>
      <c r="H97" s="9" t="str">
        <f aca="false">HYPERLINK("https://vtmf.veevavault.com/ui/#doc_info/19999208/1/0", "VTMF-15523953")</f>
        <v>VTMF-15523953</v>
      </c>
    </row>
    <row r="98" customFormat="false" ht="14.25" hidden="false" customHeight="true" outlineLevel="0" collapsed="false">
      <c r="E98" s="8" t="s">
        <v>132</v>
      </c>
      <c r="F98" s="9" t="str">
        <f aca="false">HYPERLINK("https://vtmf.veevavault.com/ui/#doc_info/20087679/2/0", "17000139BLC3001-KOR--Approval-02 Aug 2021 (v2.0)")</f>
        <v>17000139BLC3001-KOR--Approval-02 Aug 2021 (v2.0)</v>
      </c>
      <c r="G98" s="8" t="s">
        <v>274</v>
      </c>
      <c r="H98" s="9" t="str">
        <f aca="false">HYPERLINK("https://vtmf.veevavault.com/ui/#doc_info/20087679/2/0", "VTMF-15601322")</f>
        <v>VTMF-15601322</v>
      </c>
    </row>
    <row r="99" customFormat="false" ht="14.25" hidden="false" customHeight="true" outlineLevel="0" collapsed="false">
      <c r="E99" s="8" t="s">
        <v>132</v>
      </c>
      <c r="F99" s="9" t="str">
        <f aca="false">HYPERLINK("https://vtmf.veevavault.com/ui/#doc_info/20087680/2/0", "17000139BLC3001-KOR--Approval-02 Aug 2021 (v2.0)")</f>
        <v>17000139BLC3001-KOR--Approval-02 Aug 2021 (v2.0)</v>
      </c>
      <c r="G99" s="8" t="s">
        <v>275</v>
      </c>
      <c r="H99" s="9" t="str">
        <f aca="false">HYPERLINK("https://vtmf.veevavault.com/ui/#doc_info/20087680/2/0", "VTMF-15601323")</f>
        <v>VTMF-15601323</v>
      </c>
    </row>
    <row r="100" customFormat="false" ht="14.25" hidden="false" customHeight="true" outlineLevel="0" collapsed="false">
      <c r="E100" s="8" t="s">
        <v>132</v>
      </c>
      <c r="F100" s="9" t="str">
        <f aca="false">HYPERLINK("https://vtmf.veevavault.com/ui/#doc_info/19502151/1/0", "17000139BLC3001-KOR--Approval-03 Jun 2021 (v1.0)")</f>
        <v>17000139BLC3001-KOR--Approval-03 Jun 2021 (v1.0)</v>
      </c>
      <c r="G100" s="8" t="s">
        <v>276</v>
      </c>
      <c r="H100" s="9" t="str">
        <f aca="false">HYPERLINK("https://vtmf.veevavault.com/ui/#doc_info/19502151/1/0", "VTMF-15085218")</f>
        <v>VTMF-15085218</v>
      </c>
    </row>
    <row r="101" customFormat="false" ht="14.25" hidden="false" customHeight="true" outlineLevel="0" collapsed="false">
      <c r="E101" s="8" t="s">
        <v>132</v>
      </c>
      <c r="F101" s="9" t="str">
        <f aca="false">HYPERLINK("https://vtmf.veevavault.com/ui/#doc_info/19537482/1/0", "17000139BLC3001-KOR--Approval-03 Jun 2021 (v1.0)")</f>
        <v>17000139BLC3001-KOR--Approval-03 Jun 2021 (v1.0)</v>
      </c>
      <c r="G101" s="8" t="s">
        <v>277</v>
      </c>
      <c r="H101" s="9" t="str">
        <f aca="false">HYPERLINK("https://vtmf.veevavault.com/ui/#doc_info/19537482/1/0", "VTMF-15116214")</f>
        <v>VTMF-15116214</v>
      </c>
    </row>
    <row r="102" customFormat="false" ht="14.25" hidden="false" customHeight="true" outlineLevel="0" collapsed="false">
      <c r="E102" s="8" t="s">
        <v>132</v>
      </c>
      <c r="F102" s="9" t="str">
        <f aca="false">HYPERLINK("https://vtmf.veevavault.com/ui/#doc_info/19537483/1/0", "17000139BLC3001-KOR--Approval-03 Jun 2021 (v1.0)")</f>
        <v>17000139BLC3001-KOR--Approval-03 Jun 2021 (v1.0)</v>
      </c>
      <c r="G102" s="8" t="s">
        <v>278</v>
      </c>
      <c r="H102" s="9" t="str">
        <f aca="false">HYPERLINK("https://vtmf.veevavault.com/ui/#doc_info/19537483/1/0", "VTMF-15116215")</f>
        <v>VTMF-15116215</v>
      </c>
    </row>
    <row r="103" customFormat="false" ht="14.25" hidden="false" customHeight="true" outlineLevel="0" collapsed="false">
      <c r="E103" s="8" t="s">
        <v>132</v>
      </c>
      <c r="F103" s="9" t="str">
        <f aca="false">HYPERLINK("https://vtmf.veevavault.com/ui/#doc_info/19999092/1/0", "17000139BLC3001-KOR--Approval-09 Jul 2021 (v1.0)")</f>
        <v>17000139BLC3001-KOR--Approval-09 Jul 2021 (v1.0)</v>
      </c>
      <c r="G103" s="8" t="s">
        <v>279</v>
      </c>
      <c r="H103" s="9" t="str">
        <f aca="false">HYPERLINK("https://vtmf.veevavault.com/ui/#doc_info/19999092/1/0", "VTMF-15523849")</f>
        <v>VTMF-15523849</v>
      </c>
    </row>
    <row r="104" customFormat="false" ht="14.25" hidden="false" customHeight="true" outlineLevel="0" collapsed="false">
      <c r="E104" s="8" t="s">
        <v>132</v>
      </c>
      <c r="F104" s="9" t="str">
        <f aca="false">HYPERLINK("https://vtmf.veevavault.com/ui/#doc_info/19999147/1/0", "17000139BLC3001-KOR--Approval-09 Jul 2021 (v1.0)")</f>
        <v>17000139BLC3001-KOR--Approval-09 Jul 2021 (v1.0)</v>
      </c>
      <c r="G104" s="8" t="s">
        <v>280</v>
      </c>
      <c r="H104" s="9" t="str">
        <f aca="false">HYPERLINK("https://vtmf.veevavault.com/ui/#doc_info/19999147/1/0", "VTMF-15523899")</f>
        <v>VTMF-15523899</v>
      </c>
    </row>
    <row r="105" customFormat="false" ht="14.25" hidden="false" customHeight="true" outlineLevel="0" collapsed="false">
      <c r="E105" s="8" t="s">
        <v>132</v>
      </c>
      <c r="F105" s="9" t="str">
        <f aca="false">HYPERLINK("https://vtmf.veevavault.com/ui/#doc_info/19765164/1/0", "17000139BLC3001-KOR--Approval-14 Jul 2021 (v1.0)")</f>
        <v>17000139BLC3001-KOR--Approval-14 Jul 2021 (v1.0)</v>
      </c>
      <c r="G105" s="8" t="s">
        <v>281</v>
      </c>
      <c r="H105" s="9" t="str">
        <f aca="false">HYPERLINK("https://vtmf.veevavault.com/ui/#doc_info/19765164/1/0", "VTMF-15316618")</f>
        <v>VTMF-15316618</v>
      </c>
    </row>
    <row r="106" customFormat="false" ht="14.25" hidden="false" customHeight="true" outlineLevel="0" collapsed="false">
      <c r="E106" s="8" t="s">
        <v>132</v>
      </c>
      <c r="F106" s="9" t="str">
        <f aca="false">HYPERLINK("https://vtmf.veevavault.com/ui/#doc_info/19999185/1/0", "17000139BLC3001-KOR--Approval-14 Jul 2021 (v1.0)")</f>
        <v>17000139BLC3001-KOR--Approval-14 Jul 2021 (v1.0)</v>
      </c>
      <c r="G106" s="8" t="s">
        <v>282</v>
      </c>
      <c r="H106" s="9" t="str">
        <f aca="false">HYPERLINK("https://vtmf.veevavault.com/ui/#doc_info/19999185/1/0", "VTMF-15523934")</f>
        <v>VTMF-15523934</v>
      </c>
    </row>
    <row r="107" customFormat="false" ht="14.25" hidden="false" customHeight="true" outlineLevel="0" collapsed="false">
      <c r="E107" s="8" t="s">
        <v>132</v>
      </c>
      <c r="F107" s="9" t="str">
        <f aca="false">HYPERLINK("https://vtmf.veevavault.com/ui/#doc_info/20006859/2/0", "17000139BLC3001-KOR--Approval-14 Jul 2021 (v2.0)")</f>
        <v>17000139BLC3001-KOR--Approval-14 Jul 2021 (v2.0)</v>
      </c>
      <c r="G107" s="8" t="s">
        <v>283</v>
      </c>
      <c r="H107" s="9" t="str">
        <f aca="false">HYPERLINK("https://vtmf.veevavault.com/ui/#doc_info/20006859/2/0", "VTMF-15530794")</f>
        <v>VTMF-15530794</v>
      </c>
    </row>
    <row r="108" customFormat="false" ht="14.25" hidden="false" customHeight="true" outlineLevel="0" collapsed="false">
      <c r="E108" s="8" t="s">
        <v>132</v>
      </c>
      <c r="F108" s="9" t="str">
        <f aca="false">HYPERLINK("https://vtmf.veevavault.com/ui/#doc_info/19998792/1/0", "17000139BLC3001-KOR--Approval-15 Jul 2021 (v1.0)")</f>
        <v>17000139BLC3001-KOR--Approval-15 Jul 2021 (v1.0)</v>
      </c>
      <c r="G108" s="8" t="s">
        <v>284</v>
      </c>
      <c r="H108" s="9" t="str">
        <f aca="false">HYPERLINK("https://vtmf.veevavault.com/ui/#doc_info/19998792/1/0", "VTMF-15523568")</f>
        <v>VTMF-15523568</v>
      </c>
    </row>
    <row r="109" customFormat="false" ht="14.25" hidden="false" customHeight="true" outlineLevel="0" collapsed="false">
      <c r="E109" s="8" t="s">
        <v>132</v>
      </c>
      <c r="F109" s="9" t="str">
        <f aca="false">HYPERLINK("https://vtmf.veevavault.com/ui/#doc_info/20574696/1/0", "17000139BLC3001-KOR--Approval-17 Nov 2021 (v1.0)")</f>
        <v>17000139BLC3001-KOR--Approval-17 Nov 2021 (v1.0)</v>
      </c>
      <c r="G109" s="8" t="s">
        <v>285</v>
      </c>
      <c r="H109" s="9" t="str">
        <f aca="false">HYPERLINK("https://vtmf.veevavault.com/ui/#doc_info/20574696/1/0", "VTMF-16031377")</f>
        <v>VTMF-16031377</v>
      </c>
    </row>
    <row r="110" customFormat="false" ht="14.25" hidden="false" customHeight="true" outlineLevel="0" collapsed="false">
      <c r="E110" s="8" t="s">
        <v>132</v>
      </c>
      <c r="F110" s="9" t="str">
        <f aca="false">HYPERLINK("https://vtmf.veevavault.com/ui/#doc_info/20623915/1/0", "17000139BLC3001-KOR--Approval-17 Nov 2021 (v1.0)")</f>
        <v>17000139BLC3001-KOR--Approval-17 Nov 2021 (v1.0)</v>
      </c>
      <c r="G110" s="8" t="s">
        <v>286</v>
      </c>
      <c r="H110" s="9" t="str">
        <f aca="false">HYPERLINK("https://vtmf.veevavault.com/ui/#doc_info/20623915/1/0", "VTMF-16076132")</f>
        <v>VTMF-16076132</v>
      </c>
    </row>
    <row r="111" customFormat="false" ht="14.25" hidden="false" customHeight="true" outlineLevel="0" collapsed="false">
      <c r="E111" s="8" t="s">
        <v>132</v>
      </c>
      <c r="F111" s="9" t="str">
        <f aca="false">HYPERLINK("https://vtmf.veevavault.com/ui/#doc_info/20623916/1/0", "17000139BLC3001-KOR--Approval-17 Nov 2021 (v1.0)")</f>
        <v>17000139BLC3001-KOR--Approval-17 Nov 2021 (v1.0)</v>
      </c>
      <c r="G111" s="8" t="s">
        <v>287</v>
      </c>
      <c r="H111" s="9" t="str">
        <f aca="false">HYPERLINK("https://vtmf.veevavault.com/ui/#doc_info/20623916/1/0", "VTMF-16076133")</f>
        <v>VTMF-16076133</v>
      </c>
    </row>
    <row r="112" customFormat="false" ht="14.25" hidden="false" customHeight="true" outlineLevel="0" collapsed="false">
      <c r="E112" s="8" t="s">
        <v>132</v>
      </c>
      <c r="F112" s="9" t="str">
        <f aca="false">HYPERLINK("https://vtmf.veevavault.com/ui/#doc_info/23915191/1/0", "17000139BLC3001-KOR--Approval-21 Apr 2023 (v1.0)")</f>
        <v>17000139BLC3001-KOR--Approval-21 Apr 2023 (v1.0)</v>
      </c>
      <c r="G112" s="8" t="s">
        <v>288</v>
      </c>
      <c r="H112" s="9" t="str">
        <f aca="false">HYPERLINK("https://vtmf.veevavault.com/ui/#doc_info/23915191/1/0", "VTMF-18953413")</f>
        <v>VTMF-18953413</v>
      </c>
    </row>
    <row r="113" customFormat="false" ht="14.25" hidden="false" customHeight="true" outlineLevel="0" collapsed="false">
      <c r="E113" s="8" t="s">
        <v>132</v>
      </c>
      <c r="F113" s="9" t="str">
        <f aca="false">HYPERLINK("https://vtmf.veevavault.com/ui/#doc_info/23982053/1/0", "17000139BLC3001-KOR--Approval-21 Apr 2023 (v1.0)")</f>
        <v>17000139BLC3001-KOR--Approval-21 Apr 2023 (v1.0)</v>
      </c>
      <c r="G113" s="8" t="s">
        <v>289</v>
      </c>
      <c r="H113" s="9" t="str">
        <f aca="false">HYPERLINK("https://vtmf.veevavault.com/ui/#doc_info/23982053/1/0", "VTMF-19012000")</f>
        <v>VTMF-19012000</v>
      </c>
    </row>
    <row r="114" customFormat="false" ht="14.25" hidden="false" customHeight="true" outlineLevel="0" collapsed="false">
      <c r="E114" s="8" t="s">
        <v>132</v>
      </c>
      <c r="F114" s="9" t="str">
        <f aca="false">HYPERLINK("https://vtmf.veevavault.com/ui/#doc_info/23982054/1/0", "17000139BLC3001-KOR--Approval-21 Apr 2023 (v1.0)")</f>
        <v>17000139BLC3001-KOR--Approval-21 Apr 2023 (v1.0)</v>
      </c>
      <c r="G114" s="8" t="s">
        <v>290</v>
      </c>
      <c r="H114" s="9" t="str">
        <f aca="false">HYPERLINK("https://vtmf.veevavault.com/ui/#doc_info/23982054/1/0", "VTMF-19012001")</f>
        <v>VTMF-19012001</v>
      </c>
    </row>
    <row r="115" customFormat="false" ht="14.25" hidden="false" customHeight="true" outlineLevel="0" collapsed="false">
      <c r="E115" s="8" t="s">
        <v>132</v>
      </c>
      <c r="F115" s="9" t="str">
        <f aca="false">HYPERLINK("https://vtmf.veevavault.com/ui/#doc_info/19721682/1/0", "17000139BLC3001-KOR--Approval-22 Jun 2021 (v1.0)")</f>
        <v>17000139BLC3001-KOR--Approval-22 Jun 2021 (v1.0)</v>
      </c>
      <c r="G115" s="8" t="s">
        <v>291</v>
      </c>
      <c r="H115" s="9" t="str">
        <f aca="false">HYPERLINK("https://vtmf.veevavault.com/ui/#doc_info/19721682/1/0", "VTMF-15278120")</f>
        <v>VTMF-15278120</v>
      </c>
    </row>
    <row r="116" customFormat="false" ht="14.25" hidden="false" customHeight="true" outlineLevel="0" collapsed="false">
      <c r="E116" s="8" t="s">
        <v>132</v>
      </c>
      <c r="F116" s="9" t="str">
        <f aca="false">HYPERLINK("https://vtmf.veevavault.com/ui/#doc_info/19721683/1/0", "17000139BLC3001-KOR--Approval-22 Jun 2021 (v1.0)")</f>
        <v>17000139BLC3001-KOR--Approval-22 Jun 2021 (v1.0)</v>
      </c>
      <c r="G116" s="8" t="s">
        <v>292</v>
      </c>
      <c r="H116" s="9" t="str">
        <f aca="false">HYPERLINK("https://vtmf.veevavault.com/ui/#doc_info/19721683/1/0", "VTMF-15278121")</f>
        <v>VTMF-15278121</v>
      </c>
    </row>
    <row r="117" customFormat="false" ht="14.25" hidden="false" customHeight="true" outlineLevel="0" collapsed="false">
      <c r="E117" s="8" t="s">
        <v>132</v>
      </c>
      <c r="F117" s="9" t="str">
        <f aca="false">HYPERLINK("https://vtmf.veevavault.com/ui/#doc_info/19721684/1/0", "17000139BLC3001-KOR--Approval-22 Jun 2021 (v1.0)")</f>
        <v>17000139BLC3001-KOR--Approval-22 Jun 2021 (v1.0)</v>
      </c>
      <c r="G117" s="8" t="s">
        <v>293</v>
      </c>
      <c r="H117" s="9" t="str">
        <f aca="false">HYPERLINK("https://vtmf.veevavault.com/ui/#doc_info/19721684/1/0", "VTMF-15278122")</f>
        <v>VTMF-15278122</v>
      </c>
    </row>
    <row r="118" customFormat="false" ht="14.25" hidden="false" customHeight="true" outlineLevel="0" collapsed="false">
      <c r="E118" s="8" t="s">
        <v>132</v>
      </c>
      <c r="F118" s="9" t="str">
        <f aca="false">HYPERLINK("https://vtmf.veevavault.com/ui/#doc_info/19999051/1/0", "17000139BLC3001-KOR--Approval-23 Jun 2021 (v1.0)")</f>
        <v>17000139BLC3001-KOR--Approval-23 Jun 2021 (v1.0)</v>
      </c>
      <c r="G118" s="8" t="s">
        <v>294</v>
      </c>
      <c r="H118" s="9" t="str">
        <f aca="false">HYPERLINK("https://vtmf.veevavault.com/ui/#doc_info/19999051/1/0", "VTMF-15523811")</f>
        <v>VTMF-15523811</v>
      </c>
    </row>
    <row r="119" customFormat="false" ht="14.25" hidden="false" customHeight="true" outlineLevel="0" collapsed="false">
      <c r="E119" s="8" t="s">
        <v>132</v>
      </c>
      <c r="F119" s="9" t="str">
        <f aca="false">HYPERLINK("https://vtmf.veevavault.com/ui/#doc_info/25233189/1/0", "17000139BLC3001-KOR--Approval-24 Nov 2023 (v1.0)")</f>
        <v>17000139BLC3001-KOR--Approval-24 Nov 2023 (v1.0)</v>
      </c>
      <c r="G119" s="8" t="s">
        <v>295</v>
      </c>
      <c r="H119" s="9" t="str">
        <f aca="false">HYPERLINK("https://vtmf.veevavault.com/ui/#doc_info/25233189/1/0", "VTMF-20106771")</f>
        <v>VTMF-20106771</v>
      </c>
    </row>
    <row r="120" customFormat="false" ht="14.25" hidden="false" customHeight="true" outlineLevel="0" collapsed="false">
      <c r="E120" s="8" t="s">
        <v>132</v>
      </c>
      <c r="F120" s="9" t="str">
        <f aca="false">HYPERLINK("https://vtmf.veevavault.com/ui/#doc_info/25233190/1/0", "17000139BLC3001-KOR--Approval-24 Nov 2023 (v1.0)")</f>
        <v>17000139BLC3001-KOR--Approval-24 Nov 2023 (v1.0)</v>
      </c>
      <c r="G120" s="8" t="s">
        <v>296</v>
      </c>
      <c r="H120" s="9" t="str">
        <f aca="false">HYPERLINK("https://vtmf.veevavault.com/ui/#doc_info/25233190/1/0", "VTMF-20106772")</f>
        <v>VTMF-20106772</v>
      </c>
    </row>
    <row r="121" customFormat="false" ht="14.25" hidden="false" customHeight="true" outlineLevel="0" collapsed="false">
      <c r="E121" s="8" t="s">
        <v>132</v>
      </c>
      <c r="F121" s="9" t="str">
        <f aca="false">HYPERLINK("https://vtmf.veevavault.com/ui/#doc_info/25233135/1/0", "17000139BLC3001-KOR--Approval-26 Oct 2023 (v1.0)")</f>
        <v>17000139BLC3001-KOR--Approval-26 Oct 2023 (v1.0)</v>
      </c>
      <c r="G121" s="8" t="s">
        <v>297</v>
      </c>
      <c r="H121" s="9" t="str">
        <f aca="false">HYPERLINK("https://vtmf.veevavault.com/ui/#doc_info/25233135/1/0", "VTMF-20106724")</f>
        <v>VTMF-20106724</v>
      </c>
    </row>
    <row r="122" customFormat="false" ht="14.25" hidden="false" customHeight="true" outlineLevel="0" collapsed="false">
      <c r="E122" s="8" t="s">
        <v>132</v>
      </c>
      <c r="F122" s="9" t="str">
        <f aca="false">HYPERLINK("https://vtmf.veevavault.com/ui/#doc_info/25049646/1/0", "17000139BLC3002-KOR--Approval-10 Aug 2023 (v1.0)")</f>
        <v>17000139BLC3002-KOR--Approval-10 Aug 2023 (v1.0)</v>
      </c>
      <c r="G122" s="8" t="s">
        <v>298</v>
      </c>
      <c r="H122" s="9" t="str">
        <f aca="false">HYPERLINK("https://vtmf.veevavault.com/ui/#doc_info/25049646/1/0", "VTMF-19947406")</f>
        <v>VTMF-19947406</v>
      </c>
    </row>
    <row r="123" customFormat="false" ht="14.25" hidden="false" customHeight="true" outlineLevel="0" collapsed="false">
      <c r="E123" s="8" t="s">
        <v>132</v>
      </c>
      <c r="F123" s="9" t="str">
        <f aca="false">HYPERLINK("https://vtmf.veevavault.com/ui/#doc_info/23733029/1/0", "17000139BLC3002-KOR--Approval-13 Mar 2023 (v1.0)")</f>
        <v>17000139BLC3002-KOR--Approval-13 Mar 2023 (v1.0)</v>
      </c>
      <c r="G123" s="8" t="s">
        <v>299</v>
      </c>
      <c r="H123" s="9" t="str">
        <f aca="false">HYPERLINK("https://vtmf.veevavault.com/ui/#doc_info/23733029/1/0", "VTMF-18795062")</f>
        <v>VTMF-18795062</v>
      </c>
    </row>
    <row r="124" customFormat="false" ht="14.25" hidden="false" customHeight="true" outlineLevel="0" collapsed="false">
      <c r="E124" s="8" t="s">
        <v>132</v>
      </c>
      <c r="F124" s="9" t="str">
        <f aca="false">HYPERLINK("https://vtmf.veevavault.com/ui/#doc_info/22481447/1/0", "17000139BLC3002-KOR--Approval-26 Aug 2022 (v1.0)")</f>
        <v>17000139BLC3002-KOR--Approval-26 Aug 2022 (v1.0)</v>
      </c>
      <c r="G124" s="8" t="s">
        <v>300</v>
      </c>
      <c r="H124" s="9" t="str">
        <f aca="false">HYPERLINK("https://vtmf.veevavault.com/ui/#doc_info/22481447/1/0", "VTMF-17711858")</f>
        <v>VTMF-17711858</v>
      </c>
    </row>
    <row r="125" customFormat="false" ht="14.25" hidden="false" customHeight="true" outlineLevel="0" collapsed="false">
      <c r="E125" s="8" t="s">
        <v>132</v>
      </c>
      <c r="F125" s="9" t="str">
        <f aca="false">HYPERLINK("https://vtmf.veevavault.com/ui/#doc_info/25669786/1/0", "17000139BLC3004-KOR--Approval-06 Feb 2024 (v1.0)")</f>
        <v>17000139BLC3004-KOR--Approval-06 Feb 2024 (v1.0)</v>
      </c>
      <c r="G125" s="8" t="s">
        <v>301</v>
      </c>
      <c r="H125" s="9" t="str">
        <f aca="false">HYPERLINK("https://vtmf.veevavault.com/ui/#doc_info/25669786/1/0", "VTMF-20488799")</f>
        <v>VTMF-20488799</v>
      </c>
    </row>
    <row r="126" customFormat="false" ht="14.25" hidden="false" customHeight="true" outlineLevel="0" collapsed="false">
      <c r="E126" s="8" t="s">
        <v>132</v>
      </c>
      <c r="F126" s="9" t="str">
        <f aca="false">HYPERLINK("https://vtmf.veevavault.com/ui/#doc_info/3881348/1/0", "212082BCA2001-KOR--Approval-14 Jun 2015 (v1.0)")</f>
        <v>212082BCA2001-KOR--Approval-14 Jun 2015 (v1.0)</v>
      </c>
      <c r="G126" s="8" t="s">
        <v>302</v>
      </c>
      <c r="H126" s="9" t="str">
        <f aca="false">HYPERLINK("https://vtmf.veevavault.com/ui/#doc_info/3881348/1/0", "EDMS-GCO-44558642")</f>
        <v>EDMS-GCO-44558642</v>
      </c>
    </row>
    <row r="127" customFormat="false" ht="14.25" hidden="false" customHeight="true" outlineLevel="0" collapsed="false">
      <c r="E127" s="8" t="s">
        <v>132</v>
      </c>
      <c r="F127" s="9" t="str">
        <f aca="false">HYPERLINK("https://vtmf.veevavault.com/ui/#doc_info/3881349/1/0", "212082BCA2001-KOR--Approval-14 Jun 2015 (v1.0)")</f>
        <v>212082BCA2001-KOR--Approval-14 Jun 2015 (v1.0)</v>
      </c>
      <c r="G127" s="8" t="s">
        <v>303</v>
      </c>
      <c r="H127" s="9" t="str">
        <f aca="false">HYPERLINK("https://vtmf.veevavault.com/ui/#doc_info/3881349/1/0", "EDMS-GCO-44558643")</f>
        <v>EDMS-GCO-44558643</v>
      </c>
    </row>
    <row r="128" customFormat="false" ht="14.25" hidden="false" customHeight="true" outlineLevel="0" collapsed="false">
      <c r="E128" s="8" t="s">
        <v>132</v>
      </c>
      <c r="F128" s="9" t="str">
        <f aca="false">HYPERLINK("https://vtmf.veevavault.com/ui/#doc_info/3881350/1/0", "212082BCA2001-KOR--Approval-14 Jun 2015 (v1.0)")</f>
        <v>212082BCA2001-KOR--Approval-14 Jun 2015 (v1.0)</v>
      </c>
      <c r="G128" s="8" t="s">
        <v>304</v>
      </c>
      <c r="H128" s="9" t="str">
        <f aca="false">HYPERLINK("https://vtmf.veevavault.com/ui/#doc_info/3881350/1/0", "EDMS-GCO-44558644")</f>
        <v>EDMS-GCO-44558644</v>
      </c>
    </row>
    <row r="129" customFormat="false" ht="14.25" hidden="false" customHeight="true" outlineLevel="0" collapsed="false">
      <c r="E129" s="8" t="s">
        <v>132</v>
      </c>
      <c r="F129" s="9" t="str">
        <f aca="false">HYPERLINK("https://vtmf.veevavault.com/ui/#doc_info/3881351/1/0", "212082BCA2001-KOR--Approval-14 Jun 2015 (v1.0)")</f>
        <v>212082BCA2001-KOR--Approval-14 Jun 2015 (v1.0)</v>
      </c>
      <c r="G129" s="8" t="s">
        <v>305</v>
      </c>
      <c r="H129" s="9" t="str">
        <f aca="false">HYPERLINK("https://vtmf.veevavault.com/ui/#doc_info/3881351/1/0", "EDMS-GCO-44558645")</f>
        <v>EDMS-GCO-44558645</v>
      </c>
    </row>
    <row r="130" customFormat="false" ht="14.25" hidden="false" customHeight="true" outlineLevel="0" collapsed="false">
      <c r="E130" s="8" t="s">
        <v>132</v>
      </c>
      <c r="F130" s="9" t="str">
        <f aca="false">HYPERLINK("https://vtmf.veevavault.com/ui/#doc_info/3881352/1/0", "212082BCA2001-KOR--Approval-14 Jun 2015 (v1.0)")</f>
        <v>212082BCA2001-KOR--Approval-14 Jun 2015 (v1.0)</v>
      </c>
      <c r="G130" s="8" t="s">
        <v>306</v>
      </c>
      <c r="H130" s="9" t="str">
        <f aca="false">HYPERLINK("https://vtmf.veevavault.com/ui/#doc_info/3881352/1/0", "EDMS-GCO-44558646")</f>
        <v>EDMS-GCO-44558646</v>
      </c>
    </row>
    <row r="131" customFormat="false" ht="14.25" hidden="false" customHeight="true" outlineLevel="0" collapsed="false">
      <c r="E131" s="8" t="s">
        <v>132</v>
      </c>
      <c r="F131" s="9" t="str">
        <f aca="false">HYPERLINK("https://vtmf.veevavault.com/ui/#doc_info/3881353/1/0", "212082BCA2001-KOR--Approval-14 Jun 2015 (v1.0)")</f>
        <v>212082BCA2001-KOR--Approval-14 Jun 2015 (v1.0)</v>
      </c>
      <c r="G131" s="8" t="s">
        <v>307</v>
      </c>
      <c r="H131" s="9" t="str">
        <f aca="false">HYPERLINK("https://vtmf.veevavault.com/ui/#doc_info/3881353/1/0", "EDMS-GCO-44558647")</f>
        <v>EDMS-GCO-44558647</v>
      </c>
    </row>
    <row r="132" customFormat="false" ht="14.25" hidden="false" customHeight="true" outlineLevel="0" collapsed="false">
      <c r="E132" s="8" t="s">
        <v>132</v>
      </c>
      <c r="F132" s="9" t="str">
        <f aca="false">HYPERLINK("https://vtmf.veevavault.com/ui/#doc_info/3888671/1/0", "212082BCA2001-KOR--Approval-14 Jun 2015 (v1.0)")</f>
        <v>212082BCA2001-KOR--Approval-14 Jun 2015 (v1.0)</v>
      </c>
      <c r="G132" s="8" t="s">
        <v>308</v>
      </c>
      <c r="H132" s="9" t="str">
        <f aca="false">HYPERLINK("https://vtmf.veevavault.com/ui/#doc_info/3888671/1/0", "EDMS-GCO-58417035")</f>
        <v>EDMS-GCO-58417035</v>
      </c>
    </row>
    <row r="133" customFormat="false" ht="14.25" hidden="false" customHeight="true" outlineLevel="0" collapsed="false">
      <c r="E133" s="8" t="s">
        <v>132</v>
      </c>
      <c r="F133" s="9" t="str">
        <f aca="false">HYPERLINK("https://vtmf.veevavault.com/ui/#doc_info/3893279/1/0", "212082BCA2001-KOR--Approval-14 Jun 2015 (v1.0)")</f>
        <v>212082BCA2001-KOR--Approval-14 Jun 2015 (v1.0)</v>
      </c>
      <c r="G133" s="8" t="s">
        <v>309</v>
      </c>
      <c r="H133" s="9" t="str">
        <f aca="false">HYPERLINK("https://vtmf.veevavault.com/ui/#doc_info/3893279/1/0", "EDMS-GCO-68461778")</f>
        <v>EDMS-GCO-68461778</v>
      </c>
    </row>
    <row r="134" customFormat="false" ht="14.25" hidden="false" customHeight="true" outlineLevel="0" collapsed="false">
      <c r="E134" s="8" t="s">
        <v>132</v>
      </c>
      <c r="F134" s="9" t="str">
        <f aca="false">HYPERLINK("https://vtmf.veevavault.com/ui/#doc_info/3893280/1/0", "212082BCA2001-KOR--Approval-14 Jun 2015 (v1.0)")</f>
        <v>212082BCA2001-KOR--Approval-14 Jun 2015 (v1.0)</v>
      </c>
      <c r="G134" s="8" t="s">
        <v>310</v>
      </c>
      <c r="H134" s="9" t="str">
        <f aca="false">HYPERLINK("https://vtmf.veevavault.com/ui/#doc_info/3893280/1/0", "EDMS-GCO-68461784")</f>
        <v>EDMS-GCO-68461784</v>
      </c>
    </row>
    <row r="135" customFormat="false" ht="14.25" hidden="false" customHeight="true" outlineLevel="0" collapsed="false">
      <c r="E135" s="8" t="s">
        <v>132</v>
      </c>
      <c r="F135" s="9" t="str">
        <f aca="false">HYPERLINK("https://vtmf.veevavault.com/ui/#doc_info/3893281/1/0", "212082BCA2001-KOR--Approval-14 Jun 2015 (v1.0)")</f>
        <v>212082BCA2001-KOR--Approval-14 Jun 2015 (v1.0)</v>
      </c>
      <c r="G135" s="8" t="s">
        <v>311</v>
      </c>
      <c r="H135" s="9" t="str">
        <f aca="false">HYPERLINK("https://vtmf.veevavault.com/ui/#doc_info/3893281/1/0", "EDMS-GCO-68461786")</f>
        <v>EDMS-GCO-68461786</v>
      </c>
    </row>
    <row r="136" customFormat="false" ht="14.25" hidden="false" customHeight="true" outlineLevel="0" collapsed="false">
      <c r="E136" s="8" t="s">
        <v>132</v>
      </c>
      <c r="F136" s="9" t="str">
        <f aca="false">HYPERLINK("https://vtmf.veevavault.com/ui/#doc_info/3893283/1/0", "212082BCA2001-KOR--Approval-14 Jun 2015 (v1.0)")</f>
        <v>212082BCA2001-KOR--Approval-14 Jun 2015 (v1.0)</v>
      </c>
      <c r="G136" s="8" t="s">
        <v>312</v>
      </c>
      <c r="H136" s="9" t="str">
        <f aca="false">HYPERLINK("https://vtmf.veevavault.com/ui/#doc_info/3893283/1/0", "EDMS-GCO-68462475")</f>
        <v>EDMS-GCO-68462475</v>
      </c>
    </row>
    <row r="137" customFormat="false" ht="14.25" hidden="false" customHeight="true" outlineLevel="0" collapsed="false">
      <c r="E137" s="8" t="s">
        <v>132</v>
      </c>
      <c r="F137" s="9" t="str">
        <f aca="false">HYPERLINK("https://vtmf.veevavault.com/ui/#doc_info/3893284/1/0", "212082BCA2001-KOR--Approval-14 Jun 2015 (v1.0)")</f>
        <v>212082BCA2001-KOR--Approval-14 Jun 2015 (v1.0)</v>
      </c>
      <c r="G137" s="8" t="s">
        <v>313</v>
      </c>
      <c r="H137" s="9" t="str">
        <f aca="false">HYPERLINK("https://vtmf.veevavault.com/ui/#doc_info/3893284/1/0", "EDMS-GCO-68462476")</f>
        <v>EDMS-GCO-68462476</v>
      </c>
    </row>
    <row r="138" customFormat="false" ht="14.25" hidden="false" customHeight="true" outlineLevel="0" collapsed="false">
      <c r="E138" s="8" t="s">
        <v>132</v>
      </c>
      <c r="F138" s="9" t="str">
        <f aca="false">HYPERLINK("https://vtmf.veevavault.com/ui/#doc_info/3894111/1/0", "212082BCA2001-KOR--Approval-14 Jun 2015 (v1.0)")</f>
        <v>212082BCA2001-KOR--Approval-14 Jun 2015 (v1.0)</v>
      </c>
      <c r="G138" s="8" t="s">
        <v>314</v>
      </c>
      <c r="H138" s="9" t="str">
        <f aca="false">HYPERLINK("https://vtmf.veevavault.com/ui/#doc_info/3894111/1/0", "EDMS-GCO-70237915")</f>
        <v>EDMS-GCO-70237915</v>
      </c>
    </row>
    <row r="139" customFormat="false" ht="14.25" hidden="false" customHeight="true" outlineLevel="0" collapsed="false">
      <c r="E139" s="8" t="s">
        <v>132</v>
      </c>
      <c r="F139" s="9" t="str">
        <f aca="false">HYPERLINK("https://vtmf.veevavault.com/ui/#doc_info/3894112/1/0", "212082BCA2001-KOR--Approval-14 Jun 2015 (v1.0)")</f>
        <v>212082BCA2001-KOR--Approval-14 Jun 2015 (v1.0)</v>
      </c>
      <c r="G139" s="8" t="s">
        <v>315</v>
      </c>
      <c r="H139" s="9" t="str">
        <f aca="false">HYPERLINK("https://vtmf.veevavault.com/ui/#doc_info/3894112/1/0", "EDMS-GCO-70237916")</f>
        <v>EDMS-GCO-70237916</v>
      </c>
    </row>
    <row r="140" customFormat="false" ht="14.25" hidden="false" customHeight="true" outlineLevel="0" collapsed="false">
      <c r="E140" s="8" t="s">
        <v>132</v>
      </c>
      <c r="F140" s="9" t="str">
        <f aca="false">HYPERLINK("https://vtmf.veevavault.com/ui/#doc_info/3894633/1/0", "212082BCA2001-KOR--Approval-14 Jun 2015 (v1.0)")</f>
        <v>212082BCA2001-KOR--Approval-14 Jun 2015 (v1.0)</v>
      </c>
      <c r="G140" s="8" t="s">
        <v>316</v>
      </c>
      <c r="H140" s="9" t="str">
        <f aca="false">HYPERLINK("https://vtmf.veevavault.com/ui/#doc_info/3894633/1/0", "EDMS-GCO-71263582")</f>
        <v>EDMS-GCO-71263582</v>
      </c>
    </row>
    <row r="141" customFormat="false" ht="14.25" hidden="false" customHeight="true" outlineLevel="0" collapsed="false">
      <c r="E141" s="8" t="s">
        <v>132</v>
      </c>
      <c r="F141" s="9" t="str">
        <f aca="false">HYPERLINK("https://vtmf.veevavault.com/ui/#doc_info/3897554/1/0", "212082BCA2001-KOR--Approval-14 Jun 2015 (v1.0)")</f>
        <v>212082BCA2001-KOR--Approval-14 Jun 2015 (v1.0)</v>
      </c>
      <c r="G141" s="8" t="s">
        <v>317</v>
      </c>
      <c r="H141" s="9" t="str">
        <f aca="false">HYPERLINK("https://vtmf.veevavault.com/ui/#doc_info/3897554/1/0", "EDMS-GCO-82783736")</f>
        <v>EDMS-GCO-82783736</v>
      </c>
    </row>
    <row r="142" customFormat="false" ht="14.25" hidden="false" customHeight="true" outlineLevel="0" collapsed="false">
      <c r="E142" s="8" t="s">
        <v>132</v>
      </c>
      <c r="F142" s="9" t="str">
        <f aca="false">HYPERLINK("https://vtmf.veevavault.com/ui/#doc_info/3897555/1/0", "212082BCA2001-KOR--Approval-14 Jun 2015 (v1.0)")</f>
        <v>212082BCA2001-KOR--Approval-14 Jun 2015 (v1.0)</v>
      </c>
      <c r="G142" s="8" t="s">
        <v>318</v>
      </c>
      <c r="H142" s="9" t="str">
        <f aca="false">HYPERLINK("https://vtmf.veevavault.com/ui/#doc_info/3897555/1/0", "EDMS-GCO-82783737")</f>
        <v>EDMS-GCO-82783737</v>
      </c>
    </row>
    <row r="143" customFormat="false" ht="14.25" hidden="false" customHeight="true" outlineLevel="0" collapsed="false">
      <c r="E143" s="8" t="s">
        <v>132</v>
      </c>
      <c r="F143" s="9" t="str">
        <f aca="false">HYPERLINK("https://vtmf.veevavault.com/ui/#doc_info/3897556/1/0", "212082BCA2001-KOR--Approval-14 Jun 2015 (v1.0)")</f>
        <v>212082BCA2001-KOR--Approval-14 Jun 2015 (v1.0)</v>
      </c>
      <c r="G143" s="8" t="s">
        <v>319</v>
      </c>
      <c r="H143" s="9" t="str">
        <f aca="false">HYPERLINK("https://vtmf.veevavault.com/ui/#doc_info/3897556/1/0", "EDMS-GCO-82783738")</f>
        <v>EDMS-GCO-82783738</v>
      </c>
    </row>
    <row r="144" customFormat="false" ht="14.25" hidden="false" customHeight="true" outlineLevel="0" collapsed="false">
      <c r="E144" s="8" t="s">
        <v>132</v>
      </c>
      <c r="F144" s="9" t="str">
        <f aca="false">HYPERLINK("https://vtmf.veevavault.com/ui/#doc_info/3897557/1/0", "212082BCA2001-KOR--Approval-14 Jun 2015 (v1.0)")</f>
        <v>212082BCA2001-KOR--Approval-14 Jun 2015 (v1.0)</v>
      </c>
      <c r="G144" s="8" t="s">
        <v>320</v>
      </c>
      <c r="H144" s="9" t="str">
        <f aca="false">HYPERLINK("https://vtmf.veevavault.com/ui/#doc_info/3897557/1/0", "EDMS-GCO-82783739")</f>
        <v>EDMS-GCO-82783739</v>
      </c>
    </row>
    <row r="145" customFormat="false" ht="14.25" hidden="false" customHeight="true" outlineLevel="0" collapsed="false">
      <c r="E145" s="8" t="s">
        <v>132</v>
      </c>
      <c r="F145" s="9" t="str">
        <f aca="false">HYPERLINK("https://vtmf.veevavault.com/ui/#doc_info/3897558/1/0", "212082BCA2001-KOR--Approval-14 Jun 2015 (v1.0)")</f>
        <v>212082BCA2001-KOR--Approval-14 Jun 2015 (v1.0)</v>
      </c>
      <c r="G145" s="8" t="s">
        <v>321</v>
      </c>
      <c r="H145" s="9" t="str">
        <f aca="false">HYPERLINK("https://vtmf.veevavault.com/ui/#doc_info/3897558/1/0", "EDMS-GCO-82783740")</f>
        <v>EDMS-GCO-82783740</v>
      </c>
    </row>
    <row r="146" customFormat="false" ht="14.25" hidden="false" customHeight="true" outlineLevel="0" collapsed="false">
      <c r="E146" s="8" t="s">
        <v>132</v>
      </c>
      <c r="F146" s="9" t="str">
        <f aca="false">HYPERLINK("https://vtmf.veevavault.com/ui/#doc_info/3897559/1/0", "212082BCA2001-KOR--Approval-14 Jun 2015 (v1.0)")</f>
        <v>212082BCA2001-KOR--Approval-14 Jun 2015 (v1.0)</v>
      </c>
      <c r="G146" s="8" t="s">
        <v>322</v>
      </c>
      <c r="H146" s="9" t="str">
        <f aca="false">HYPERLINK("https://vtmf.veevavault.com/ui/#doc_info/3897559/1/0", "EDMS-GCO-82783741")</f>
        <v>EDMS-GCO-82783741</v>
      </c>
    </row>
    <row r="147" customFormat="false" ht="14.25" hidden="false" customHeight="true" outlineLevel="0" collapsed="false">
      <c r="E147" s="8" t="s">
        <v>132</v>
      </c>
      <c r="F147" s="9" t="str">
        <f aca="false">HYPERLINK("https://vtmf.veevavault.com/ui/#doc_info/3897613/1/0", "212082BCA2001-KOR--Approval-14 Jun 2015 (v1.0)")</f>
        <v>212082BCA2001-KOR--Approval-14 Jun 2015 (v1.0)</v>
      </c>
      <c r="G147" s="8" t="s">
        <v>323</v>
      </c>
      <c r="H147" s="9" t="str">
        <f aca="false">HYPERLINK("https://vtmf.veevavault.com/ui/#doc_info/3897613/1/0", "EDMS-GCO-82987420")</f>
        <v>EDMS-GCO-82987420</v>
      </c>
    </row>
    <row r="148" customFormat="false" ht="14.25" hidden="false" customHeight="true" outlineLevel="0" collapsed="false">
      <c r="E148" s="8" t="s">
        <v>132</v>
      </c>
      <c r="F148" s="9" t="str">
        <f aca="false">HYPERLINK("https://vtmf.veevavault.com/ui/#doc_info/3898060/1/0", "212082BCA2001-KOR--Approval-14 Jun 2015 (v1.0)")</f>
        <v>212082BCA2001-KOR--Approval-14 Jun 2015 (v1.0)</v>
      </c>
      <c r="G148" s="8" t="s">
        <v>324</v>
      </c>
      <c r="H148" s="9" t="str">
        <f aca="false">HYPERLINK("https://vtmf.veevavault.com/ui/#doc_info/3898060/1/0", "EDMS-GCO-85182910")</f>
        <v>EDMS-GCO-85182910</v>
      </c>
    </row>
    <row r="149" customFormat="false" ht="14.25" hidden="false" customHeight="true" outlineLevel="0" collapsed="false">
      <c r="E149" s="8" t="s">
        <v>132</v>
      </c>
      <c r="F149" s="9" t="str">
        <f aca="false">HYPERLINK("https://vtmf.veevavault.com/ui/#doc_info/3630884/3/0", "212082PCR2007-KOR--Approval- (v3.0)")</f>
        <v>212082PCR2007-KOR--Approval- (v3.0)</v>
      </c>
      <c r="G149" s="8" t="s">
        <v>325</v>
      </c>
      <c r="H149" s="9" t="str">
        <f aca="false">HYPERLINK("https://vtmf.veevavault.com/ui/#doc_info/3630884/3/0", "EDMS-GCO-76506410")</f>
        <v>EDMS-GCO-76506410</v>
      </c>
    </row>
    <row r="150" customFormat="false" ht="14.25" hidden="false" customHeight="true" outlineLevel="0" collapsed="false">
      <c r="E150" s="8" t="s">
        <v>132</v>
      </c>
      <c r="F150" s="9" t="str">
        <f aca="false">HYPERLINK("https://vtmf.veevavault.com/ui/#doc_info/3626792/1/0", "212082PCR2007-KOR-Approval (v1.0)")</f>
        <v>212082PCR2007-KOR-Approval (v1.0)</v>
      </c>
      <c r="G150" s="8" t="s">
        <v>326</v>
      </c>
      <c r="H150" s="9" t="str">
        <f aca="false">HYPERLINK("https://vtmf.veevavault.com/ui/#doc_info/3626792/1/0", "EDMS-GCO-47786034")</f>
        <v>EDMS-GCO-47786034</v>
      </c>
    </row>
    <row r="151" customFormat="false" ht="14.25" hidden="false" customHeight="true" outlineLevel="0" collapsed="false">
      <c r="E151" s="8" t="s">
        <v>132</v>
      </c>
      <c r="F151" s="9" t="str">
        <f aca="false">HYPERLINK("https://vtmf.veevavault.com/ui/#doc_info/3626793/1/0", "212082PCR2007-KOR-Approval (v1.0)")</f>
        <v>212082PCR2007-KOR-Approval (v1.0)</v>
      </c>
      <c r="G151" s="8" t="s">
        <v>327</v>
      </c>
      <c r="H151" s="9" t="str">
        <f aca="false">HYPERLINK("https://vtmf.veevavault.com/ui/#doc_info/3626793/1/0", "EDMS-GCO-47786098")</f>
        <v>EDMS-GCO-47786098</v>
      </c>
    </row>
    <row r="152" customFormat="false" ht="14.25" hidden="false" customHeight="true" outlineLevel="0" collapsed="false">
      <c r="E152" s="8" t="s">
        <v>132</v>
      </c>
      <c r="F152" s="9" t="str">
        <f aca="false">HYPERLINK("https://vtmf.veevavault.com/ui/#doc_info/3626794/1/0", "212082PCR2007-KOR-Approval (v1.0)")</f>
        <v>212082PCR2007-KOR-Approval (v1.0)</v>
      </c>
      <c r="G152" s="8" t="s">
        <v>328</v>
      </c>
      <c r="H152" s="9" t="str">
        <f aca="false">HYPERLINK("https://vtmf.veevavault.com/ui/#doc_info/3626794/1/0", "EDMS-GCO-47786099")</f>
        <v>EDMS-GCO-47786099</v>
      </c>
    </row>
    <row r="153" customFormat="false" ht="14.25" hidden="false" customHeight="true" outlineLevel="0" collapsed="false">
      <c r="E153" s="8" t="s">
        <v>132</v>
      </c>
      <c r="F153" s="9" t="str">
        <f aca="false">HYPERLINK("https://vtmf.veevavault.com/ui/#doc_info/3626795/1/0", "212082PCR2007-KOR-Approval (v1.0)")</f>
        <v>212082PCR2007-KOR-Approval (v1.0)</v>
      </c>
      <c r="G153" s="8" t="s">
        <v>329</v>
      </c>
      <c r="H153" s="9" t="str">
        <f aca="false">HYPERLINK("https://vtmf.veevavault.com/ui/#doc_info/3626795/1/0", "EDMS-GCO-47786100")</f>
        <v>EDMS-GCO-47786100</v>
      </c>
    </row>
    <row r="154" customFormat="false" ht="14.25" hidden="false" customHeight="true" outlineLevel="0" collapsed="false">
      <c r="E154" s="8" t="s">
        <v>132</v>
      </c>
      <c r="F154" s="9" t="str">
        <f aca="false">HYPERLINK("https://vtmf.veevavault.com/ui/#doc_info/3626796/1/0", "212082PCR2007-KOR-Approval (v1.0)")</f>
        <v>212082PCR2007-KOR-Approval (v1.0)</v>
      </c>
      <c r="G154" s="8" t="s">
        <v>330</v>
      </c>
      <c r="H154" s="9" t="str">
        <f aca="false">HYPERLINK("https://vtmf.veevavault.com/ui/#doc_info/3626796/1/0", "EDMS-GCO-47786101")</f>
        <v>EDMS-GCO-47786101</v>
      </c>
    </row>
    <row r="155" customFormat="false" ht="14.25" hidden="false" customHeight="true" outlineLevel="0" collapsed="false">
      <c r="E155" s="8" t="s">
        <v>132</v>
      </c>
      <c r="F155" s="9" t="str">
        <f aca="false">HYPERLINK("https://vtmf.veevavault.com/ui/#doc_info/3626797/1/0", "212082PCR2007-KOR-Approval (v1.0)")</f>
        <v>212082PCR2007-KOR-Approval (v1.0)</v>
      </c>
      <c r="G155" s="8" t="s">
        <v>331</v>
      </c>
      <c r="H155" s="9" t="str">
        <f aca="false">HYPERLINK("https://vtmf.veevavault.com/ui/#doc_info/3626797/1/0", "EDMS-GCO-47786102")</f>
        <v>EDMS-GCO-47786102</v>
      </c>
    </row>
    <row r="156" customFormat="false" ht="14.25" hidden="false" customHeight="true" outlineLevel="0" collapsed="false">
      <c r="E156" s="8" t="s">
        <v>132</v>
      </c>
      <c r="F156" s="9" t="str">
        <f aca="false">HYPERLINK("https://vtmf.veevavault.com/ui/#doc_info/3626798/1/0", "212082PCR2007-KOR-Approval (v1.0)")</f>
        <v>212082PCR2007-KOR-Approval (v1.0)</v>
      </c>
      <c r="G156" s="8" t="s">
        <v>332</v>
      </c>
      <c r="H156" s="9" t="str">
        <f aca="false">HYPERLINK("https://vtmf.veevavault.com/ui/#doc_info/3626798/1/0", "EDMS-GCO-47786104")</f>
        <v>EDMS-GCO-47786104</v>
      </c>
    </row>
    <row r="157" customFormat="false" ht="14.25" hidden="false" customHeight="true" outlineLevel="0" collapsed="false">
      <c r="E157" s="8" t="s">
        <v>132</v>
      </c>
      <c r="F157" s="9" t="str">
        <f aca="false">HYPERLINK("https://vtmf.veevavault.com/ui/#doc_info/3627093/1/0", "212082PCR2007-KOR-Approval (v1.0)")</f>
        <v>212082PCR2007-KOR-Approval (v1.0)</v>
      </c>
      <c r="G157" s="8" t="s">
        <v>333</v>
      </c>
      <c r="H157" s="9" t="str">
        <f aca="false">HYPERLINK("https://vtmf.veevavault.com/ui/#doc_info/3627093/1/0", "EDMS-GCO-52138775")</f>
        <v>EDMS-GCO-52138775</v>
      </c>
    </row>
    <row r="158" customFormat="false" ht="14.25" hidden="false" customHeight="true" outlineLevel="0" collapsed="false">
      <c r="E158" s="8" t="s">
        <v>132</v>
      </c>
      <c r="F158" s="9" t="str">
        <f aca="false">HYPERLINK("https://vtmf.veevavault.com/ui/#doc_info/3627307/1/0", "212082PCR2007-KOR-Approval (v1.0)")</f>
        <v>212082PCR2007-KOR-Approval (v1.0)</v>
      </c>
      <c r="G158" s="8" t="s">
        <v>334</v>
      </c>
      <c r="H158" s="9" t="str">
        <f aca="false">HYPERLINK("https://vtmf.veevavault.com/ui/#doc_info/3627307/1/0", "EDMS-GCO-60183208")</f>
        <v>EDMS-GCO-60183208</v>
      </c>
    </row>
    <row r="159" customFormat="false" ht="14.25" hidden="false" customHeight="true" outlineLevel="0" collapsed="false">
      <c r="E159" s="8" t="s">
        <v>132</v>
      </c>
      <c r="F159" s="9" t="str">
        <f aca="false">HYPERLINK("https://vtmf.veevavault.com/ui/#doc_info/3627308/1/0", "212082PCR2007-KOR-Approval (v1.0)")</f>
        <v>212082PCR2007-KOR-Approval (v1.0)</v>
      </c>
      <c r="G159" s="8" t="s">
        <v>335</v>
      </c>
      <c r="H159" s="9" t="str">
        <f aca="false">HYPERLINK("https://vtmf.veevavault.com/ui/#doc_info/3627308/1/0", "EDMS-GCO-60183209")</f>
        <v>EDMS-GCO-60183209</v>
      </c>
    </row>
    <row r="160" customFormat="false" ht="14.25" hidden="false" customHeight="true" outlineLevel="0" collapsed="false">
      <c r="E160" s="8" t="s">
        <v>132</v>
      </c>
      <c r="F160" s="9" t="str">
        <f aca="false">HYPERLINK("https://vtmf.veevavault.com/ui/#doc_info/3631488/1/0", "212082PCR2007-KOR-Approval (v1.0)")</f>
        <v>212082PCR2007-KOR-Approval (v1.0)</v>
      </c>
      <c r="G160" s="8" t="s">
        <v>336</v>
      </c>
      <c r="H160" s="9" t="str">
        <f aca="false">HYPERLINK("https://vtmf.veevavault.com/ui/#doc_info/3631488/1/0", "EDMS-GCO-78438368")</f>
        <v>EDMS-GCO-78438368</v>
      </c>
    </row>
    <row r="161" customFormat="false" ht="14.25" hidden="false" customHeight="true" outlineLevel="0" collapsed="false">
      <c r="E161" s="8" t="s">
        <v>132</v>
      </c>
      <c r="F161" s="9" t="str">
        <f aca="false">HYPERLINK("https://vtmf.veevavault.com/ui/#doc_info/3632585/1/0", "212082PCR2007-KOR-Approval (v1.0)")</f>
        <v>212082PCR2007-KOR-Approval (v1.0)</v>
      </c>
      <c r="G161" s="8" t="s">
        <v>337</v>
      </c>
      <c r="H161" s="9" t="str">
        <f aca="false">HYPERLINK("https://vtmf.veevavault.com/ui/#doc_info/3632585/1/0", "EDMS-GCO-80727800")</f>
        <v>EDMS-GCO-80727800</v>
      </c>
    </row>
    <row r="162" customFormat="false" ht="14.25" hidden="false" customHeight="true" outlineLevel="0" collapsed="false">
      <c r="E162" s="8" t="s">
        <v>132</v>
      </c>
      <c r="F162" s="9" t="str">
        <f aca="false">HYPERLINK("https://vtmf.veevavault.com/ui/#doc_info/3632586/1/0", "212082PCR2007-KOR-Approval (v1.0)")</f>
        <v>212082PCR2007-KOR-Approval (v1.0)</v>
      </c>
      <c r="G162" s="8" t="s">
        <v>338</v>
      </c>
      <c r="H162" s="9" t="str">
        <f aca="false">HYPERLINK("https://vtmf.veevavault.com/ui/#doc_info/3632586/1/0", "EDMS-GCO-80727801")</f>
        <v>EDMS-GCO-80727801</v>
      </c>
    </row>
    <row r="163" customFormat="false" ht="14.25" hidden="false" customHeight="true" outlineLevel="0" collapsed="false">
      <c r="E163" s="8" t="s">
        <v>132</v>
      </c>
      <c r="F163" s="9" t="str">
        <f aca="false">HYPERLINK("https://vtmf.veevavault.com/ui/#doc_info/3632587/1/0", "212082PCR2007-KOR-Approval (v1.0)")</f>
        <v>212082PCR2007-KOR-Approval (v1.0)</v>
      </c>
      <c r="G163" s="8" t="s">
        <v>339</v>
      </c>
      <c r="H163" s="9" t="str">
        <f aca="false">HYPERLINK("https://vtmf.veevavault.com/ui/#doc_info/3632587/1/0", "EDMS-GCO-80727802")</f>
        <v>EDMS-GCO-80727802</v>
      </c>
    </row>
    <row r="164" customFormat="false" ht="14.25" hidden="false" customHeight="true" outlineLevel="0" collapsed="false">
      <c r="E164" s="8" t="s">
        <v>132</v>
      </c>
      <c r="F164" s="9" t="str">
        <f aca="false">HYPERLINK("https://vtmf.veevavault.com/ui/#doc_info/3632588/1/0", "212082PCR2007-KOR-Approval (v1.0)")</f>
        <v>212082PCR2007-KOR-Approval (v1.0)</v>
      </c>
      <c r="G164" s="8" t="s">
        <v>340</v>
      </c>
      <c r="H164" s="9" t="str">
        <f aca="false">HYPERLINK("https://vtmf.veevavault.com/ui/#doc_info/3632588/1/0", "EDMS-GCO-80727803")</f>
        <v>EDMS-GCO-80727803</v>
      </c>
    </row>
    <row r="165" customFormat="false" ht="14.25" hidden="false" customHeight="true" outlineLevel="0" collapsed="false">
      <c r="E165" s="8" t="s">
        <v>132</v>
      </c>
      <c r="F165" s="9" t="str">
        <f aca="false">HYPERLINK("https://vtmf.veevavault.com/ui/#doc_info/3632589/1/0", "212082PCR2007-KOR-Approval (v1.0)")</f>
        <v>212082PCR2007-KOR-Approval (v1.0)</v>
      </c>
      <c r="G165" s="8" t="s">
        <v>341</v>
      </c>
      <c r="H165" s="9" t="str">
        <f aca="false">HYPERLINK("https://vtmf.veevavault.com/ui/#doc_info/3632589/1/0", "EDMS-GCO-80727834")</f>
        <v>EDMS-GCO-80727834</v>
      </c>
    </row>
    <row r="166" customFormat="false" ht="14.25" hidden="false" customHeight="true" outlineLevel="0" collapsed="false">
      <c r="E166" s="8" t="s">
        <v>132</v>
      </c>
      <c r="F166" s="9" t="str">
        <f aca="false">HYPERLINK("https://vtmf.veevavault.com/ui/#doc_info/3632590/1/0", "212082PCR2007-KOR-Approval (v1.0)")</f>
        <v>212082PCR2007-KOR-Approval (v1.0)</v>
      </c>
      <c r="G166" s="8" t="s">
        <v>342</v>
      </c>
      <c r="H166" s="9" t="str">
        <f aca="false">HYPERLINK("https://vtmf.veevavault.com/ui/#doc_info/3632590/1/0", "EDMS-GCO-80727835")</f>
        <v>EDMS-GCO-80727835</v>
      </c>
    </row>
    <row r="167" customFormat="false" ht="14.25" hidden="false" customHeight="true" outlineLevel="0" collapsed="false">
      <c r="E167" s="8" t="s">
        <v>132</v>
      </c>
      <c r="F167" s="9" t="str">
        <f aca="false">HYPERLINK("https://vtmf.veevavault.com/ui/#doc_info/3632591/1/0", "212082PCR2007-KOR-Approval (v1.0)")</f>
        <v>212082PCR2007-KOR-Approval (v1.0)</v>
      </c>
      <c r="G167" s="8" t="s">
        <v>343</v>
      </c>
      <c r="H167" s="9" t="str">
        <f aca="false">HYPERLINK("https://vtmf.veevavault.com/ui/#doc_info/3632591/1/0", "EDMS-GCO-80727836")</f>
        <v>EDMS-GCO-80727836</v>
      </c>
    </row>
    <row r="168" customFormat="false" ht="14.25" hidden="false" customHeight="true" outlineLevel="0" collapsed="false">
      <c r="E168" s="8" t="s">
        <v>132</v>
      </c>
      <c r="F168" s="9" t="str">
        <f aca="false">HYPERLINK("https://vtmf.veevavault.com/ui/#doc_info/3632592/1/0", "212082PCR2007-KOR-Approval (v1.0)")</f>
        <v>212082PCR2007-KOR-Approval (v1.0)</v>
      </c>
      <c r="G168" s="8" t="s">
        <v>344</v>
      </c>
      <c r="H168" s="9" t="str">
        <f aca="false">HYPERLINK("https://vtmf.veevavault.com/ui/#doc_info/3632592/1/0", "EDMS-GCO-80727837")</f>
        <v>EDMS-GCO-80727837</v>
      </c>
    </row>
    <row r="169" customFormat="false" ht="14.25" hidden="false" customHeight="true" outlineLevel="0" collapsed="false">
      <c r="E169" s="8" t="s">
        <v>132</v>
      </c>
      <c r="F169" s="9" t="str">
        <f aca="false">HYPERLINK("https://vtmf.veevavault.com/ui/#doc_info/3632593/1/0", "212082PCR2007-KOR-Approval (v1.0)")</f>
        <v>212082PCR2007-KOR-Approval (v1.0)</v>
      </c>
      <c r="G169" s="8" t="s">
        <v>345</v>
      </c>
      <c r="H169" s="9" t="str">
        <f aca="false">HYPERLINK("https://vtmf.veevavault.com/ui/#doc_info/3632593/1/0", "EDMS-GCO-80727838")</f>
        <v>EDMS-GCO-80727838</v>
      </c>
    </row>
    <row r="170" customFormat="false" ht="14.25" hidden="false" customHeight="true" outlineLevel="0" collapsed="false">
      <c r="E170" s="8" t="s">
        <v>132</v>
      </c>
      <c r="F170" s="9" t="str">
        <f aca="false">HYPERLINK("https://vtmf.veevavault.com/ui/#doc_info/3632594/1/0", "212082PCR2007-KOR-Approval (v1.0)")</f>
        <v>212082PCR2007-KOR-Approval (v1.0)</v>
      </c>
      <c r="G170" s="8" t="s">
        <v>346</v>
      </c>
      <c r="H170" s="9" t="str">
        <f aca="false">HYPERLINK("https://vtmf.veevavault.com/ui/#doc_info/3632594/1/0", "EDMS-GCO-80727864")</f>
        <v>EDMS-GCO-80727864</v>
      </c>
    </row>
    <row r="171" customFormat="false" ht="14.25" hidden="false" customHeight="true" outlineLevel="0" collapsed="false">
      <c r="E171" s="8" t="s">
        <v>132</v>
      </c>
      <c r="F171" s="9" t="str">
        <f aca="false">HYPERLINK("https://vtmf.veevavault.com/ui/#doc_info/3632595/1/0", "212082PCR2007-KOR-Approval (v1.0)")</f>
        <v>212082PCR2007-KOR-Approval (v1.0)</v>
      </c>
      <c r="G171" s="8" t="s">
        <v>347</v>
      </c>
      <c r="H171" s="9" t="str">
        <f aca="false">HYPERLINK("https://vtmf.veevavault.com/ui/#doc_info/3632595/1/0", "EDMS-GCO-80727865")</f>
        <v>EDMS-GCO-80727865</v>
      </c>
    </row>
    <row r="172" customFormat="false" ht="14.25" hidden="false" customHeight="true" outlineLevel="0" collapsed="false">
      <c r="E172" s="8" t="s">
        <v>132</v>
      </c>
      <c r="F172" s="9" t="str">
        <f aca="false">HYPERLINK("https://vtmf.veevavault.com/ui/#doc_info/3632596/1/0", "212082PCR2007-KOR-Approval (v1.0)")</f>
        <v>212082PCR2007-KOR-Approval (v1.0)</v>
      </c>
      <c r="G172" s="8" t="s">
        <v>348</v>
      </c>
      <c r="H172" s="9" t="str">
        <f aca="false">HYPERLINK("https://vtmf.veevavault.com/ui/#doc_info/3632596/1/0", "EDMS-GCO-80727866")</f>
        <v>EDMS-GCO-80727866</v>
      </c>
    </row>
    <row r="173" customFormat="false" ht="14.25" hidden="false" customHeight="true" outlineLevel="0" collapsed="false">
      <c r="E173" s="8" t="s">
        <v>132</v>
      </c>
      <c r="F173" s="9" t="str">
        <f aca="false">HYPERLINK("https://vtmf.veevavault.com/ui/#doc_info/3632597/1/0", "212082PCR2007-KOR-Approval (v1.0)")</f>
        <v>212082PCR2007-KOR-Approval (v1.0)</v>
      </c>
      <c r="G173" s="8" t="s">
        <v>349</v>
      </c>
      <c r="H173" s="9" t="str">
        <f aca="false">HYPERLINK("https://vtmf.veevavault.com/ui/#doc_info/3632597/1/0", "EDMS-GCO-80727867")</f>
        <v>EDMS-GCO-80727867</v>
      </c>
    </row>
    <row r="174" customFormat="false" ht="14.25" hidden="false" customHeight="true" outlineLevel="0" collapsed="false">
      <c r="E174" s="8" t="s">
        <v>132</v>
      </c>
      <c r="F174" s="9" t="str">
        <f aca="false">HYPERLINK("https://vtmf.veevavault.com/ui/#doc_info/3632598/1/0", "212082PCR2007-KOR-Approval (v1.0)")</f>
        <v>212082PCR2007-KOR-Approval (v1.0)</v>
      </c>
      <c r="G174" s="8" t="s">
        <v>350</v>
      </c>
      <c r="H174" s="9" t="str">
        <f aca="false">HYPERLINK("https://vtmf.veevavault.com/ui/#doc_info/3632598/1/0", "EDMS-GCO-80727868")</f>
        <v>EDMS-GCO-80727868</v>
      </c>
    </row>
    <row r="175" customFormat="false" ht="14.25" hidden="false" customHeight="true" outlineLevel="0" collapsed="false">
      <c r="E175" s="8" t="s">
        <v>132</v>
      </c>
      <c r="F175" s="9" t="str">
        <f aca="false">HYPERLINK("https://vtmf.veevavault.com/ui/#doc_info/3632602/1/0", "212082PCR2007-KOR-Approval (v1.0)")</f>
        <v>212082PCR2007-KOR-Approval (v1.0)</v>
      </c>
      <c r="G175" s="8" t="s">
        <v>351</v>
      </c>
      <c r="H175" s="9" t="str">
        <f aca="false">HYPERLINK("https://vtmf.veevavault.com/ui/#doc_info/3632602/1/0", "EDMS-GCO-80728833")</f>
        <v>EDMS-GCO-80728833</v>
      </c>
    </row>
    <row r="176" customFormat="false" ht="14.25" hidden="false" customHeight="true" outlineLevel="0" collapsed="false">
      <c r="E176" s="8" t="s">
        <v>132</v>
      </c>
      <c r="F176" s="9" t="str">
        <f aca="false">HYPERLINK("https://vtmf.veevavault.com/ui/#doc_info/3632603/1/0", "212082PCR2007-KOR-Approval (v1.0)")</f>
        <v>212082PCR2007-KOR-Approval (v1.0)</v>
      </c>
      <c r="G176" s="8" t="s">
        <v>352</v>
      </c>
      <c r="H176" s="9" t="str">
        <f aca="false">HYPERLINK("https://vtmf.veevavault.com/ui/#doc_info/3632603/1/0", "EDMS-GCO-80728834")</f>
        <v>EDMS-GCO-80728834</v>
      </c>
    </row>
    <row r="177" customFormat="false" ht="14.25" hidden="false" customHeight="true" outlineLevel="0" collapsed="false">
      <c r="E177" s="8" t="s">
        <v>132</v>
      </c>
      <c r="F177" s="9" t="str">
        <f aca="false">HYPERLINK("https://vtmf.veevavault.com/ui/#doc_info/3632604/1/0", "212082PCR2007-KOR-Approval (v1.0)")</f>
        <v>212082PCR2007-KOR-Approval (v1.0)</v>
      </c>
      <c r="G177" s="8" t="s">
        <v>353</v>
      </c>
      <c r="H177" s="9" t="str">
        <f aca="false">HYPERLINK("https://vtmf.veevavault.com/ui/#doc_info/3632604/1/0", "EDMS-GCO-80729306")</f>
        <v>EDMS-GCO-80729306</v>
      </c>
    </row>
    <row r="178" customFormat="false" ht="14.25" hidden="false" customHeight="true" outlineLevel="0" collapsed="false">
      <c r="E178" s="8" t="s">
        <v>132</v>
      </c>
      <c r="F178" s="9" t="str">
        <f aca="false">HYPERLINK("https://vtmf.veevavault.com/ui/#doc_info/3632605/1/0", "212082PCR2007-KOR-Approval (v1.0)")</f>
        <v>212082PCR2007-KOR-Approval (v1.0)</v>
      </c>
      <c r="G178" s="8" t="s">
        <v>354</v>
      </c>
      <c r="H178" s="9" t="str">
        <f aca="false">HYPERLINK("https://vtmf.veevavault.com/ui/#doc_info/3632605/1/0", "EDMS-GCO-80729307")</f>
        <v>EDMS-GCO-80729307</v>
      </c>
    </row>
    <row r="179" customFormat="false" ht="14.25" hidden="false" customHeight="true" outlineLevel="0" collapsed="false">
      <c r="E179" s="8" t="s">
        <v>132</v>
      </c>
      <c r="F179" s="9" t="str">
        <f aca="false">HYPERLINK("https://vtmf.veevavault.com/ui/#doc_info/3632606/1/0", "212082PCR2007-KOR-Approval (v1.0)")</f>
        <v>212082PCR2007-KOR-Approval (v1.0)</v>
      </c>
      <c r="G179" s="8" t="s">
        <v>355</v>
      </c>
      <c r="H179" s="9" t="str">
        <f aca="false">HYPERLINK("https://vtmf.veevavault.com/ui/#doc_info/3632606/1/0", "EDMS-GCO-80729308")</f>
        <v>EDMS-GCO-80729308</v>
      </c>
    </row>
    <row r="180" customFormat="false" ht="14.25" hidden="false" customHeight="true" outlineLevel="0" collapsed="false">
      <c r="E180" s="8" t="s">
        <v>132</v>
      </c>
      <c r="F180" s="9" t="str">
        <f aca="false">HYPERLINK("https://vtmf.veevavault.com/ui/#doc_info/3632607/1/0", "212082PCR2007-KOR-Approval (v1.0)")</f>
        <v>212082PCR2007-KOR-Approval (v1.0)</v>
      </c>
      <c r="G180" s="8" t="s">
        <v>356</v>
      </c>
      <c r="H180" s="9" t="str">
        <f aca="false">HYPERLINK("https://vtmf.veevavault.com/ui/#doc_info/3632607/1/0", "EDMS-GCO-80729309")</f>
        <v>EDMS-GCO-80729309</v>
      </c>
    </row>
    <row r="181" customFormat="false" ht="14.25" hidden="false" customHeight="true" outlineLevel="0" collapsed="false">
      <c r="E181" s="8" t="s">
        <v>132</v>
      </c>
      <c r="F181" s="9" t="str">
        <f aca="false">HYPERLINK("https://vtmf.veevavault.com/ui/#doc_info/3632608/1/0", "212082PCR2007-KOR-Approval (v1.0)")</f>
        <v>212082PCR2007-KOR-Approval (v1.0)</v>
      </c>
      <c r="G181" s="8" t="s">
        <v>357</v>
      </c>
      <c r="H181" s="9" t="str">
        <f aca="false">HYPERLINK("https://vtmf.veevavault.com/ui/#doc_info/3632608/1/0", "EDMS-GCO-80729310")</f>
        <v>EDMS-GCO-80729310</v>
      </c>
    </row>
    <row r="182" customFormat="false" ht="14.25" hidden="false" customHeight="true" outlineLevel="0" collapsed="false">
      <c r="E182" s="8" t="s">
        <v>132</v>
      </c>
      <c r="F182" s="9" t="str">
        <f aca="false">HYPERLINK("https://vtmf.veevavault.com/ui/#doc_info/3632609/1/0", "212082PCR2007-KOR-Approval (v1.0)")</f>
        <v>212082PCR2007-KOR-Approval (v1.0)</v>
      </c>
      <c r="G182" s="8" t="s">
        <v>358</v>
      </c>
      <c r="H182" s="9" t="str">
        <f aca="false">HYPERLINK("https://vtmf.veevavault.com/ui/#doc_info/3632609/1/0", "EDMS-GCO-80729350")</f>
        <v>EDMS-GCO-80729350</v>
      </c>
    </row>
    <row r="183" customFormat="false" ht="14.25" hidden="false" customHeight="true" outlineLevel="0" collapsed="false">
      <c r="E183" s="8" t="s">
        <v>132</v>
      </c>
      <c r="F183" s="9" t="str">
        <f aca="false">HYPERLINK("https://vtmf.veevavault.com/ui/#doc_info/3632610/1/0", "212082PCR2007-KOR-Approval (v1.0)")</f>
        <v>212082PCR2007-KOR-Approval (v1.0)</v>
      </c>
      <c r="G183" s="8" t="s">
        <v>359</v>
      </c>
      <c r="H183" s="9" t="str">
        <f aca="false">HYPERLINK("https://vtmf.veevavault.com/ui/#doc_info/3632610/1/0", "EDMS-GCO-80729351")</f>
        <v>EDMS-GCO-80729351</v>
      </c>
    </row>
    <row r="184" customFormat="false" ht="14.25" hidden="false" customHeight="true" outlineLevel="0" collapsed="false">
      <c r="E184" s="8" t="s">
        <v>132</v>
      </c>
      <c r="F184" s="9" t="str">
        <f aca="false">HYPERLINK("https://vtmf.veevavault.com/ui/#doc_info/3632611/1/0", "212082PCR2007-KOR-Approval (v1.0)")</f>
        <v>212082PCR2007-KOR-Approval (v1.0)</v>
      </c>
      <c r="G184" s="8" t="s">
        <v>360</v>
      </c>
      <c r="H184" s="9" t="str">
        <f aca="false">HYPERLINK("https://vtmf.veevavault.com/ui/#doc_info/3632611/1/0", "EDMS-GCO-80729352")</f>
        <v>EDMS-GCO-80729352</v>
      </c>
    </row>
    <row r="185" customFormat="false" ht="14.25" hidden="false" customHeight="true" outlineLevel="0" collapsed="false">
      <c r="E185" s="8" t="s">
        <v>132</v>
      </c>
      <c r="F185" s="9" t="str">
        <f aca="false">HYPERLINK("https://vtmf.veevavault.com/ui/#doc_info/3632612/1/0", "212082PCR2007-KOR-Approval (v1.0)")</f>
        <v>212082PCR2007-KOR-Approval (v1.0)</v>
      </c>
      <c r="G185" s="8" t="s">
        <v>361</v>
      </c>
      <c r="H185" s="9" t="str">
        <f aca="false">HYPERLINK("https://vtmf.veevavault.com/ui/#doc_info/3632612/1/0", "EDMS-GCO-80729353")</f>
        <v>EDMS-GCO-80729353</v>
      </c>
    </row>
    <row r="186" customFormat="false" ht="14.25" hidden="false" customHeight="true" outlineLevel="0" collapsed="false">
      <c r="E186" s="8" t="s">
        <v>132</v>
      </c>
      <c r="F186" s="9" t="str">
        <f aca="false">HYPERLINK("https://vtmf.veevavault.com/ui/#doc_info/3632748/1/0", "212082PCR2007-KOR-Approval (v1.0)")</f>
        <v>212082PCR2007-KOR-Approval (v1.0)</v>
      </c>
      <c r="G186" s="8" t="s">
        <v>362</v>
      </c>
      <c r="H186" s="9" t="str">
        <f aca="false">HYPERLINK("https://vtmf.veevavault.com/ui/#doc_info/3632748/1/0", "EDMS-GCO-81676131")</f>
        <v>EDMS-GCO-81676131</v>
      </c>
    </row>
    <row r="187" customFormat="false" ht="14.25" hidden="false" customHeight="true" outlineLevel="0" collapsed="false">
      <c r="E187" s="8" t="s">
        <v>132</v>
      </c>
      <c r="F187" s="9" t="str">
        <f aca="false">HYPERLINK("https://vtmf.veevavault.com/ui/#doc_info/3639220/1/0", "212082PCR2007-KOR-Approval (v1.0)")</f>
        <v>212082PCR2007-KOR-Approval (v1.0)</v>
      </c>
      <c r="G187" s="8" t="s">
        <v>363</v>
      </c>
      <c r="H187" s="9" t="str">
        <f aca="false">HYPERLINK("https://vtmf.veevavault.com/ui/#doc_info/3639220/1/0", "EDMS-GCO-104552254")</f>
        <v>EDMS-GCO-104552254</v>
      </c>
    </row>
    <row r="188" customFormat="false" ht="14.25" hidden="false" customHeight="true" outlineLevel="0" collapsed="false">
      <c r="E188" s="8" t="s">
        <v>132</v>
      </c>
      <c r="F188" s="9" t="str">
        <f aca="false">HYPERLINK("https://vtmf.veevavault.com/ui/#doc_info/3639221/1/0", "212082PCR2007-KOR-Approval (v1.0)")</f>
        <v>212082PCR2007-KOR-Approval (v1.0)</v>
      </c>
      <c r="G188" s="8" t="s">
        <v>364</v>
      </c>
      <c r="H188" s="9" t="str">
        <f aca="false">HYPERLINK("https://vtmf.veevavault.com/ui/#doc_info/3639221/1/0", "EDMS-GCO-104552255")</f>
        <v>EDMS-GCO-104552255</v>
      </c>
    </row>
    <row r="189" customFormat="false" ht="14.25" hidden="false" customHeight="true" outlineLevel="0" collapsed="false">
      <c r="E189" s="8" t="s">
        <v>132</v>
      </c>
      <c r="F189" s="9" t="str">
        <f aca="false">HYPERLINK("https://vtmf.veevavault.com/ui/#doc_info/2195625/1/0", "212082PCR3001-KOR--Approval (v1.0)")</f>
        <v>212082PCR3001-KOR--Approval (v1.0)</v>
      </c>
      <c r="G189" s="8" t="s">
        <v>365</v>
      </c>
      <c r="H189" s="9" t="str">
        <f aca="false">HYPERLINK("https://vtmf.veevavault.com/ui/#doc_info/2195625/1/0", "EDMS-GCO-71269116")</f>
        <v>EDMS-GCO-71269116</v>
      </c>
    </row>
    <row r="190" customFormat="false" ht="14.25" hidden="false" customHeight="true" outlineLevel="0" collapsed="false">
      <c r="E190" s="8" t="s">
        <v>132</v>
      </c>
      <c r="F190" s="9" t="str">
        <f aca="false">HYPERLINK("https://vtmf.veevavault.com/ui/#doc_info/2195634/1/0", "212082PCR3001-KOR--Approval (v1.0)")</f>
        <v>212082PCR3001-KOR--Approval (v1.0)</v>
      </c>
      <c r="G190" s="8" t="s">
        <v>366</v>
      </c>
      <c r="H190" s="9" t="str">
        <f aca="false">HYPERLINK("https://vtmf.veevavault.com/ui/#doc_info/2195634/1/0", "EDMS-GCO-71269117")</f>
        <v>EDMS-GCO-71269117</v>
      </c>
    </row>
    <row r="191" customFormat="false" ht="14.25" hidden="false" customHeight="true" outlineLevel="0" collapsed="false">
      <c r="E191" s="8" t="s">
        <v>132</v>
      </c>
      <c r="F191" s="9" t="str">
        <f aca="false">HYPERLINK("https://vtmf.veevavault.com/ui/#doc_info/2195640/1/0", "212082PCR3001-KOR--Approval (v1.0)")</f>
        <v>212082PCR3001-KOR--Approval (v1.0)</v>
      </c>
      <c r="G191" s="8" t="s">
        <v>367</v>
      </c>
      <c r="H191" s="9" t="str">
        <f aca="false">HYPERLINK("https://vtmf.veevavault.com/ui/#doc_info/2195640/1/0", "EDMS-GCO-71277191")</f>
        <v>EDMS-GCO-71277191</v>
      </c>
    </row>
    <row r="192" customFormat="false" ht="14.25" hidden="false" customHeight="true" outlineLevel="0" collapsed="false">
      <c r="E192" s="8" t="s">
        <v>132</v>
      </c>
      <c r="F192" s="9" t="str">
        <f aca="false">HYPERLINK("https://vtmf.veevavault.com/ui/#doc_info/2195650/1/0", "212082PCR3001-KOR--Approval (v1.0)")</f>
        <v>212082PCR3001-KOR--Approval (v1.0)</v>
      </c>
      <c r="G192" s="8" t="s">
        <v>368</v>
      </c>
      <c r="H192" s="9" t="str">
        <f aca="false">HYPERLINK("https://vtmf.veevavault.com/ui/#doc_info/2195650/1/0", "EDMS-GCO-71277192")</f>
        <v>EDMS-GCO-71277192</v>
      </c>
    </row>
    <row r="193" customFormat="false" ht="14.25" hidden="false" customHeight="true" outlineLevel="0" collapsed="false">
      <c r="E193" s="8" t="s">
        <v>132</v>
      </c>
      <c r="F193" s="9" t="str">
        <f aca="false">HYPERLINK("https://vtmf.veevavault.com/ui/#doc_info/2195662/1/0", "212082PCR3001-KOR--Approval (v1.0)")</f>
        <v>212082PCR3001-KOR--Approval (v1.0)</v>
      </c>
      <c r="G193" s="8" t="s">
        <v>369</v>
      </c>
      <c r="H193" s="9" t="str">
        <f aca="false">HYPERLINK("https://vtmf.veevavault.com/ui/#doc_info/2195662/1/0", "EDMS-GCO-71277193")</f>
        <v>EDMS-GCO-71277193</v>
      </c>
    </row>
    <row r="194" customFormat="false" ht="14.25" hidden="false" customHeight="true" outlineLevel="0" collapsed="false">
      <c r="E194" s="8" t="s">
        <v>132</v>
      </c>
      <c r="F194" s="9" t="str">
        <f aca="false">HYPERLINK("https://vtmf.veevavault.com/ui/#doc_info/2283089/1/0", "212082PCR3001-KOR--Approval (v1.0)")</f>
        <v>212082PCR3001-KOR--Approval (v1.0)</v>
      </c>
      <c r="G194" s="8" t="s">
        <v>370</v>
      </c>
      <c r="H194" s="9" t="str">
        <f aca="false">HYPERLINK("https://vtmf.veevavault.com/ui/#doc_info/2283089/1/0", "EDMS-GCO-86861040")</f>
        <v>EDMS-GCO-86861040</v>
      </c>
    </row>
    <row r="195" customFormat="false" ht="14.25" hidden="false" customHeight="true" outlineLevel="0" collapsed="false">
      <c r="E195" s="8" t="s">
        <v>132</v>
      </c>
      <c r="F195" s="9" t="str">
        <f aca="false">HYPERLINK("https://vtmf.veevavault.com/ui/#doc_info/2283097/1/0", "212082PCR3001-KOR--Approval (v1.0)")</f>
        <v>212082PCR3001-KOR--Approval (v1.0)</v>
      </c>
      <c r="G195" s="8" t="s">
        <v>371</v>
      </c>
      <c r="H195" s="9" t="str">
        <f aca="false">HYPERLINK("https://vtmf.veevavault.com/ui/#doc_info/2283097/1/0", "EDMS-GCO-86861041")</f>
        <v>EDMS-GCO-86861041</v>
      </c>
    </row>
    <row r="196" customFormat="false" ht="14.25" hidden="false" customHeight="true" outlineLevel="0" collapsed="false">
      <c r="E196" s="8" t="s">
        <v>132</v>
      </c>
      <c r="F196" s="9" t="str">
        <f aca="false">HYPERLINK("https://vtmf.veevavault.com/ui/#doc_info/2283107/1/0", "212082PCR3001-KOR--Approval (v1.0)")</f>
        <v>212082PCR3001-KOR--Approval (v1.0)</v>
      </c>
      <c r="G196" s="8" t="s">
        <v>372</v>
      </c>
      <c r="H196" s="9" t="str">
        <f aca="false">HYPERLINK("https://vtmf.veevavault.com/ui/#doc_info/2283107/1/0", "EDMS-GCO-86861042")</f>
        <v>EDMS-GCO-86861042</v>
      </c>
    </row>
    <row r="197" customFormat="false" ht="14.25" hidden="false" customHeight="true" outlineLevel="0" collapsed="false">
      <c r="E197" s="8" t="s">
        <v>132</v>
      </c>
      <c r="F197" s="9" t="str">
        <f aca="false">HYPERLINK("https://vtmf.veevavault.com/ui/#doc_info/2283116/1/0", "212082PCR3001-KOR--Approval (v1.0)")</f>
        <v>212082PCR3001-KOR--Approval (v1.0)</v>
      </c>
      <c r="G197" s="8" t="s">
        <v>373</v>
      </c>
      <c r="H197" s="9" t="str">
        <f aca="false">HYPERLINK("https://vtmf.veevavault.com/ui/#doc_info/2283116/1/0", "EDMS-GCO-86861043")</f>
        <v>EDMS-GCO-86861043</v>
      </c>
    </row>
    <row r="198" customFormat="false" ht="14.25" hidden="false" customHeight="true" outlineLevel="0" collapsed="false">
      <c r="E198" s="8" t="s">
        <v>132</v>
      </c>
      <c r="F198" s="9" t="str">
        <f aca="false">HYPERLINK("https://vtmf.veevavault.com/ui/#doc_info/2283123/1/0", "212082PCR3001-KOR--Approval (v1.0)")</f>
        <v>212082PCR3001-KOR--Approval (v1.0)</v>
      </c>
      <c r="G198" s="8" t="s">
        <v>374</v>
      </c>
      <c r="H198" s="9" t="str">
        <f aca="false">HYPERLINK("https://vtmf.veevavault.com/ui/#doc_info/2283123/1/0", "EDMS-GCO-86861044")</f>
        <v>EDMS-GCO-86861044</v>
      </c>
    </row>
    <row r="199" customFormat="false" ht="14.25" hidden="false" customHeight="true" outlineLevel="0" collapsed="false">
      <c r="E199" s="8" t="s">
        <v>132</v>
      </c>
      <c r="F199" s="9" t="str">
        <f aca="false">HYPERLINK("https://vtmf.veevavault.com/ui/#doc_info/2283151/1/0", "212082PCR3001-KOR--Approval (v1.0)")</f>
        <v>212082PCR3001-KOR--Approval (v1.0)</v>
      </c>
      <c r="G199" s="8" t="s">
        <v>375</v>
      </c>
      <c r="H199" s="9" t="str">
        <f aca="false">HYPERLINK("https://vtmf.veevavault.com/ui/#doc_info/2283151/1/0", "EDMS-GCO-86861045")</f>
        <v>EDMS-GCO-86861045</v>
      </c>
    </row>
    <row r="200" customFormat="false" ht="14.25" hidden="false" customHeight="true" outlineLevel="0" collapsed="false">
      <c r="E200" s="8" t="s">
        <v>132</v>
      </c>
      <c r="F200" s="9" t="str">
        <f aca="false">HYPERLINK("https://vtmf.veevavault.com/ui/#doc_info/2283161/1/0", "212082PCR3001-KOR--Approval (v1.0)")</f>
        <v>212082PCR3001-KOR--Approval (v1.0)</v>
      </c>
      <c r="G200" s="8" t="s">
        <v>376</v>
      </c>
      <c r="H200" s="9" t="str">
        <f aca="false">HYPERLINK("https://vtmf.veevavault.com/ui/#doc_info/2283161/1/0", "EDMS-GCO-86861046")</f>
        <v>EDMS-GCO-86861046</v>
      </c>
    </row>
    <row r="201" customFormat="false" ht="14.25" hidden="false" customHeight="true" outlineLevel="0" collapsed="false">
      <c r="E201" s="8" t="s">
        <v>132</v>
      </c>
      <c r="F201" s="9" t="str">
        <f aca="false">HYPERLINK("https://vtmf.veevavault.com/ui/#doc_info/2289277/1/0", "212082PCR3001-KOR--Approval (v1.0)")</f>
        <v>212082PCR3001-KOR--Approval (v1.0)</v>
      </c>
      <c r="G201" s="8" t="s">
        <v>377</v>
      </c>
      <c r="H201" s="9" t="str">
        <f aca="false">HYPERLINK("https://vtmf.veevavault.com/ui/#doc_info/2289277/1/0", "EDMS-GCO-89862183")</f>
        <v>EDMS-GCO-89862183</v>
      </c>
    </row>
    <row r="202" customFormat="false" ht="14.25" hidden="false" customHeight="true" outlineLevel="0" collapsed="false">
      <c r="E202" s="8" t="s">
        <v>132</v>
      </c>
      <c r="F202" s="9" t="str">
        <f aca="false">HYPERLINK("https://vtmf.veevavault.com/ui/#doc_info/2292026/1/0", "212082PCR3001-KOR--Approval (v1.0)")</f>
        <v>212082PCR3001-KOR--Approval (v1.0)</v>
      </c>
      <c r="G202" s="8" t="s">
        <v>378</v>
      </c>
      <c r="H202" s="9" t="str">
        <f aca="false">HYPERLINK("https://vtmf.veevavault.com/ui/#doc_info/2292026/1/0", "EDMS-GCO-92681328")</f>
        <v>EDMS-GCO-92681328</v>
      </c>
    </row>
    <row r="203" customFormat="false" ht="14.25" hidden="false" customHeight="true" outlineLevel="0" collapsed="false">
      <c r="E203" s="8" t="s">
        <v>132</v>
      </c>
      <c r="F203" s="9" t="str">
        <f aca="false">HYPERLINK("https://vtmf.veevavault.com/ui/#doc_info/2299366/1/0", "212082PCR3001-KOR--Approval (v1.0)")</f>
        <v>212082PCR3001-KOR--Approval (v1.0)</v>
      </c>
      <c r="G203" s="8" t="s">
        <v>379</v>
      </c>
      <c r="H203" s="9" t="str">
        <f aca="false">HYPERLINK("https://vtmf.veevavault.com/ui/#doc_info/2299366/1/0", "EDMS-GCO-95511109")</f>
        <v>EDMS-GCO-95511109</v>
      </c>
    </row>
    <row r="204" customFormat="false" ht="14.25" hidden="false" customHeight="true" outlineLevel="0" collapsed="false">
      <c r="E204" s="8" t="s">
        <v>132</v>
      </c>
      <c r="F204" s="9" t="str">
        <f aca="false">HYPERLINK("https://vtmf.veevavault.com/ui/#doc_info/2318214/1/0", "212082PCR3001-KOR--Approval (v1.0)")</f>
        <v>212082PCR3001-KOR--Approval (v1.0)</v>
      </c>
      <c r="G204" s="8" t="s">
        <v>380</v>
      </c>
      <c r="H204" s="9" t="str">
        <f aca="false">HYPERLINK("https://vtmf.veevavault.com/ui/#doc_info/2318214/1/0", "EDMS-GCO-101354643")</f>
        <v>EDMS-GCO-101354643</v>
      </c>
    </row>
    <row r="205" customFormat="false" ht="14.25" hidden="false" customHeight="true" outlineLevel="0" collapsed="false">
      <c r="E205" s="8" t="s">
        <v>132</v>
      </c>
      <c r="F205" s="9" t="str">
        <f aca="false">HYPERLINK("https://vtmf.veevavault.com/ui/#doc_info/2318225/1/0", "212082PCR3001-KOR--Approval (v1.0)")</f>
        <v>212082PCR3001-KOR--Approval (v1.0)</v>
      </c>
      <c r="G205" s="8" t="s">
        <v>381</v>
      </c>
      <c r="H205" s="9" t="str">
        <f aca="false">HYPERLINK("https://vtmf.veevavault.com/ui/#doc_info/2318225/1/0", "EDMS-GCO-101359255")</f>
        <v>EDMS-GCO-101359255</v>
      </c>
    </row>
    <row r="206" customFormat="false" ht="14.25" hidden="false" customHeight="true" outlineLevel="0" collapsed="false">
      <c r="E206" s="8" t="s">
        <v>132</v>
      </c>
      <c r="F206" s="9" t="str">
        <f aca="false">HYPERLINK("https://vtmf.veevavault.com/ui/#doc_info/2318234/1/0", "212082PCR3001-KOR--Approval (v1.0)")</f>
        <v>212082PCR3001-KOR--Approval (v1.0)</v>
      </c>
      <c r="G206" s="8" t="s">
        <v>382</v>
      </c>
      <c r="H206" s="9" t="str">
        <f aca="false">HYPERLINK("https://vtmf.veevavault.com/ui/#doc_info/2318234/1/0", "EDMS-GCO-101359256")</f>
        <v>EDMS-GCO-101359256</v>
      </c>
    </row>
    <row r="207" customFormat="false" ht="14.25" hidden="false" customHeight="true" outlineLevel="0" collapsed="false">
      <c r="E207" s="8" t="s">
        <v>132</v>
      </c>
      <c r="F207" s="9" t="str">
        <f aca="false">HYPERLINK("https://vtmf.veevavault.com/ui/#doc_info/2327503/1/0", "212082PCR3001-KOR--Approval (v1.0)")</f>
        <v>212082PCR3001-KOR--Approval (v1.0)</v>
      </c>
      <c r="G207" s="8" t="s">
        <v>380</v>
      </c>
      <c r="H207" s="9" t="str">
        <f aca="false">HYPERLINK("https://vtmf.veevavault.com/ui/#doc_info/2327503/1/0", "EDMS-GCO-102330952")</f>
        <v>EDMS-GCO-102330952</v>
      </c>
    </row>
    <row r="208" customFormat="false" ht="14.25" hidden="false" customHeight="true" outlineLevel="0" collapsed="false">
      <c r="E208" s="8" t="s">
        <v>132</v>
      </c>
      <c r="F208" s="9" t="str">
        <f aca="false">HYPERLINK("https://vtmf.veevavault.com/ui/#doc_info/2327512/1/0", "212082PCR3001-KOR--Approval (v1.0)")</f>
        <v>212082PCR3001-KOR--Approval (v1.0)</v>
      </c>
      <c r="G208" s="8" t="s">
        <v>383</v>
      </c>
      <c r="H208" s="9" t="str">
        <f aca="false">HYPERLINK("https://vtmf.veevavault.com/ui/#doc_info/2327512/1/0", "EDMS-GCO-102330953")</f>
        <v>EDMS-GCO-102330953</v>
      </c>
    </row>
    <row r="209" customFormat="false" ht="14.25" hidden="false" customHeight="true" outlineLevel="0" collapsed="false">
      <c r="E209" s="8" t="s">
        <v>132</v>
      </c>
      <c r="F209" s="9" t="str">
        <f aca="false">HYPERLINK("https://vtmf.veevavault.com/ui/#doc_info/8960064/1/0", "212082PCR3011-KOR--Approval-05 Nov 2015 (v1.0)")</f>
        <v>212082PCR3011-KOR--Approval-05 Nov 2015 (v1.0)</v>
      </c>
      <c r="G209" s="8" t="s">
        <v>384</v>
      </c>
      <c r="H209" s="9" t="str">
        <f aca="false">HYPERLINK("https://vtmf.veevavault.com/ui/#doc_info/8960064/1/0", "VTMF-5069838")</f>
        <v>VTMF-5069838</v>
      </c>
    </row>
    <row r="210" customFormat="false" ht="14.25" hidden="false" customHeight="true" outlineLevel="0" collapsed="false">
      <c r="E210" s="8" t="s">
        <v>132</v>
      </c>
      <c r="F210" s="9" t="str">
        <f aca="false">HYPERLINK("https://vtmf.veevavault.com/ui/#doc_info/8962698/1/0", "212082PCR3011-KOR--Approval-14 Mar 2014 (v1.0)")</f>
        <v>212082PCR3011-KOR--Approval-14 Mar 2014 (v1.0)</v>
      </c>
      <c r="G210" s="8" t="s">
        <v>385</v>
      </c>
      <c r="H210" s="9" t="str">
        <f aca="false">HYPERLINK("https://vtmf.veevavault.com/ui/#doc_info/8962698/1/0", "VTMF-5072373")</f>
        <v>VTMF-5072373</v>
      </c>
    </row>
    <row r="211" customFormat="false" ht="14.25" hidden="false" customHeight="true" outlineLevel="0" collapsed="false">
      <c r="E211" s="8" t="s">
        <v>132</v>
      </c>
      <c r="F211" s="9" t="str">
        <f aca="false">HYPERLINK("https://vtmf.veevavault.com/ui/#doc_info/8962697/1/0", "212082PCR3011-KOR--Approval-21 Sep 2017 (v1.0)")</f>
        <v>212082PCR3011-KOR--Approval-21 Sep 2017 (v1.0)</v>
      </c>
      <c r="G211" s="8" t="s">
        <v>386</v>
      </c>
      <c r="H211" s="9" t="str">
        <f aca="false">HYPERLINK("https://vtmf.veevavault.com/ui/#doc_info/8962697/1/0", "VTMF-5072372")</f>
        <v>VTMF-5072372</v>
      </c>
    </row>
    <row r="212" customFormat="false" ht="14.25" hidden="false" customHeight="true" outlineLevel="0" collapsed="false">
      <c r="E212" s="8" t="s">
        <v>132</v>
      </c>
      <c r="F212" s="9" t="str">
        <f aca="false">HYPERLINK("https://vtmf.veevavault.com/ui/#doc_info/2066062/1/0", "212082PCR3011-KOR--Approval-25 Mar 2015 (v1.0)")</f>
        <v>212082PCR3011-KOR--Approval-25 Mar 2015 (v1.0)</v>
      </c>
      <c r="G212" s="8" t="s">
        <v>387</v>
      </c>
      <c r="H212" s="9" t="str">
        <f aca="false">HYPERLINK("https://vtmf.veevavault.com/ui/#doc_info/2066062/1/0", "EDMS-GCO-53952442")</f>
        <v>EDMS-GCO-53952442</v>
      </c>
    </row>
    <row r="213" customFormat="false" ht="14.25" hidden="false" customHeight="true" outlineLevel="0" collapsed="false">
      <c r="E213" s="8" t="s">
        <v>132</v>
      </c>
      <c r="F213" s="9" t="str">
        <f aca="false">HYPERLINK("https://vtmf.veevavault.com/ui/#doc_info/5842392/1/0", "212082PCR3011-KOR--Approval-25 Sep 2014 (v1.0)")</f>
        <v>212082PCR3011-KOR--Approval-25 Sep 2014 (v1.0)</v>
      </c>
      <c r="G213" s="8" t="s">
        <v>388</v>
      </c>
      <c r="H213" s="9" t="str">
        <f aca="false">HYPERLINK("https://vtmf.veevavault.com/ui/#doc_info/5842392/1/0", "VTMF-2071156")</f>
        <v>VTMF-2071156</v>
      </c>
    </row>
    <row r="214" customFormat="false" ht="14.25" hidden="false" customHeight="true" outlineLevel="0" collapsed="false">
      <c r="E214" s="8" t="s">
        <v>132</v>
      </c>
      <c r="F214" s="9" t="str">
        <f aca="false">HYPERLINK("https://vtmf.veevavault.com/ui/#doc_info/2160840/1/0", "212082PCR3011-KOR--Approval-26 Mar 2015 (v1.0)")</f>
        <v>212082PCR3011-KOR--Approval-26 Mar 2015 (v1.0)</v>
      </c>
      <c r="G214" s="8" t="s">
        <v>389</v>
      </c>
      <c r="H214" s="9" t="str">
        <f aca="false">HYPERLINK("https://vtmf.veevavault.com/ui/#doc_info/2160840/1/0", "EDMS-GCO-75601835")</f>
        <v>EDMS-GCO-75601835</v>
      </c>
    </row>
    <row r="215" customFormat="false" ht="14.25" hidden="false" customHeight="true" outlineLevel="0" collapsed="false">
      <c r="E215" s="8" t="s">
        <v>132</v>
      </c>
      <c r="F215" s="9" t="str">
        <f aca="false">HYPERLINK("https://vtmf.veevavault.com/ui/#doc_info/2160859/1/0", "212082PCR3011-KOR--Approval-26 Mar 2015 (v1.0)")</f>
        <v>212082PCR3011-KOR--Approval-26 Mar 2015 (v1.0)</v>
      </c>
      <c r="G215" s="8" t="s">
        <v>390</v>
      </c>
      <c r="H215" s="9" t="str">
        <f aca="false">HYPERLINK("https://vtmf.veevavault.com/ui/#doc_info/2160859/1/0", "EDMS-GCO-75601836")</f>
        <v>EDMS-GCO-75601836</v>
      </c>
    </row>
    <row r="216" customFormat="false" ht="14.25" hidden="false" customHeight="true" outlineLevel="0" collapsed="false">
      <c r="E216" s="8" t="s">
        <v>132</v>
      </c>
      <c r="F216" s="9" t="str">
        <f aca="false">HYPERLINK("https://vtmf.veevavault.com/ui/#doc_info/21427833/1/0", "212082PCR3011-KOR--Approval-28 Aug 2021 (v1.0)")</f>
        <v>212082PCR3011-KOR--Approval-28 Aug 2021 (v1.0)</v>
      </c>
      <c r="G216" s="8" t="s">
        <v>391</v>
      </c>
      <c r="H216" s="9" t="str">
        <f aca="false">HYPERLINK("https://vtmf.veevavault.com/ui/#doc_info/21427833/1/0", "VTMF-16787115")</f>
        <v>VTMF-16787115</v>
      </c>
    </row>
    <row r="217" customFormat="false" ht="14.25" hidden="false" customHeight="true" outlineLevel="0" collapsed="false">
      <c r="E217" s="8" t="s">
        <v>132</v>
      </c>
      <c r="F217" s="9" t="str">
        <f aca="false">HYPERLINK("https://vtmf.veevavault.com/ui/#doc_info/8790264/1/0", "212082PCR3011-KOR--Approval-28 Sep 2017 (v1.0)")</f>
        <v>212082PCR3011-KOR--Approval-28 Sep 2017 (v1.0)</v>
      </c>
      <c r="G217" s="8" t="s">
        <v>392</v>
      </c>
      <c r="H217" s="9" t="str">
        <f aca="false">HYPERLINK("https://vtmf.veevavault.com/ui/#doc_info/8790264/1/0", "VTMF-4908334")</f>
        <v>VTMF-4908334</v>
      </c>
    </row>
    <row r="218" customFormat="false" ht="14.25" hidden="false" customHeight="true" outlineLevel="0" collapsed="false">
      <c r="E218" s="8" t="s">
        <v>132</v>
      </c>
      <c r="F218" s="9" t="str">
        <f aca="false">HYPERLINK("https://vtmf.veevavault.com/ui/#doc_info/5661707/0/1", "212082PCR4023-KOR--Approval (v0.1)")</f>
        <v>212082PCR4023-KOR--Approval (v0.1)</v>
      </c>
      <c r="G218" s="8"/>
      <c r="H218" s="9" t="str">
        <f aca="false">HYPERLINK("https://vtmf.veevavault.com/ui/#doc_info/5661707/0/1", "VTMF-1894202")</f>
        <v>VTMF-1894202</v>
      </c>
    </row>
    <row r="219" customFormat="false" ht="14.25" hidden="false" customHeight="true" outlineLevel="0" collapsed="false">
      <c r="E219" s="8" t="s">
        <v>132</v>
      </c>
      <c r="F219" s="9" t="str">
        <f aca="false">HYPERLINK("https://vtmf.veevavault.com/ui/#doc_info/1444027/1/0", "26866138LYM2034-KOR--Approval (v1.0)")</f>
        <v>26866138LYM2034-KOR--Approval (v1.0)</v>
      </c>
      <c r="G219" s="8" t="s">
        <v>393</v>
      </c>
      <c r="H219" s="9" t="str">
        <f aca="false">HYPERLINK("https://vtmf.veevavault.com/ui/#doc_info/1444027/1/0", "EDMS-GCO-8043146")</f>
        <v>EDMS-GCO-8043146</v>
      </c>
    </row>
    <row r="220" customFormat="false" ht="14.25" hidden="false" customHeight="true" outlineLevel="0" collapsed="false">
      <c r="E220" s="8" t="s">
        <v>132</v>
      </c>
      <c r="F220" s="9" t="str">
        <f aca="false">HYPERLINK("https://vtmf.veevavault.com/ui/#doc_info/1461227/1/1", "26866138LYM2034-KOR--Approval (v1.1)")</f>
        <v>26866138LYM2034-KOR--Approval (v1.1)</v>
      </c>
      <c r="G220" s="8" t="s">
        <v>394</v>
      </c>
      <c r="H220" s="9" t="str">
        <f aca="false">HYPERLINK("https://vtmf.veevavault.com/ui/#doc_info/1461227/1/1", "EDMS-GCO-16244724")</f>
        <v>EDMS-GCO-16244724</v>
      </c>
    </row>
    <row r="221" customFormat="false" ht="14.25" hidden="false" customHeight="true" outlineLevel="0" collapsed="false">
      <c r="E221" s="8" t="s">
        <v>132</v>
      </c>
      <c r="F221" s="9" t="str">
        <f aca="false">HYPERLINK("https://vtmf.veevavault.com/ui/#doc_info/1461245/1/0", "26866138LYM2034-KOR--Approval (v1.0)")</f>
        <v>26866138LYM2034-KOR--Approval (v1.0)</v>
      </c>
      <c r="G221" s="8" t="s">
        <v>395</v>
      </c>
      <c r="H221" s="9" t="str">
        <f aca="false">HYPERLINK("https://vtmf.veevavault.com/ui/#doc_info/1461245/1/0", "EDMS-GCO-16077623")</f>
        <v>EDMS-GCO-16077623</v>
      </c>
    </row>
    <row r="222" customFormat="false" ht="14.25" hidden="false" customHeight="true" outlineLevel="0" collapsed="false">
      <c r="E222" s="8" t="s">
        <v>132</v>
      </c>
      <c r="F222" s="9" t="str">
        <f aca="false">HYPERLINK("https://vtmf.veevavault.com/ui/#doc_info/1461252/1/0", "26866138LYM2034-KOR--Approval (v1.0)")</f>
        <v>26866138LYM2034-KOR--Approval (v1.0)</v>
      </c>
      <c r="G222" s="8" t="s">
        <v>396</v>
      </c>
      <c r="H222" s="9" t="str">
        <f aca="false">HYPERLINK("https://vtmf.veevavault.com/ui/#doc_info/1461252/1/0", "EDMS-GCO-16077626")</f>
        <v>EDMS-GCO-16077626</v>
      </c>
    </row>
    <row r="223" customFormat="false" ht="14.25" hidden="false" customHeight="true" outlineLevel="0" collapsed="false">
      <c r="E223" s="8" t="s">
        <v>132</v>
      </c>
      <c r="F223" s="9" t="str">
        <f aca="false">HYPERLINK("https://vtmf.veevavault.com/ui/#doc_info/1461262/1/0", "26866138LYM2034-KOR--Approval (v1.0)")</f>
        <v>26866138LYM2034-KOR--Approval (v1.0)</v>
      </c>
      <c r="G223" s="8" t="s">
        <v>397</v>
      </c>
      <c r="H223" s="9" t="str">
        <f aca="false">HYPERLINK("https://vtmf.veevavault.com/ui/#doc_info/1461262/1/0", "EDMS-GCO-16077631")</f>
        <v>EDMS-GCO-16077631</v>
      </c>
    </row>
    <row r="224" customFormat="false" ht="14.25" hidden="false" customHeight="true" outlineLevel="0" collapsed="false">
      <c r="E224" s="8" t="s">
        <v>132</v>
      </c>
      <c r="F224" s="9" t="str">
        <f aca="false">HYPERLINK("https://vtmf.veevavault.com/ui/#doc_info/1461273/1/0", "26866138LYM2034-KOR--Approval (v1.0)")</f>
        <v>26866138LYM2034-KOR--Approval (v1.0)</v>
      </c>
      <c r="G224" s="8" t="s">
        <v>398</v>
      </c>
      <c r="H224" s="9" t="str">
        <f aca="false">HYPERLINK("https://vtmf.veevavault.com/ui/#doc_info/1461273/1/0", "EDMS-GCO-16077635")</f>
        <v>EDMS-GCO-16077635</v>
      </c>
    </row>
    <row r="225" customFormat="false" ht="14.25" hidden="false" customHeight="true" outlineLevel="0" collapsed="false">
      <c r="E225" s="8" t="s">
        <v>132</v>
      </c>
      <c r="F225" s="9" t="str">
        <f aca="false">HYPERLINK("https://vtmf.veevavault.com/ui/#doc_info/1461285/1/0", "26866138LYM2034-KOR--Approval (v1.0)")</f>
        <v>26866138LYM2034-KOR--Approval (v1.0)</v>
      </c>
      <c r="G225" s="8" t="s">
        <v>399</v>
      </c>
      <c r="H225" s="9" t="str">
        <f aca="false">HYPERLINK("https://vtmf.veevavault.com/ui/#doc_info/1461285/1/0", "EDMS-GCO-16077640")</f>
        <v>EDMS-GCO-16077640</v>
      </c>
    </row>
    <row r="226" customFormat="false" ht="14.25" hidden="false" customHeight="true" outlineLevel="0" collapsed="false">
      <c r="E226" s="8" t="s">
        <v>132</v>
      </c>
      <c r="F226" s="9" t="str">
        <f aca="false">HYPERLINK("https://vtmf.veevavault.com/ui/#doc_info/1461294/1/0", "26866138LYM2034-KOR--Approval (v1.0)")</f>
        <v>26866138LYM2034-KOR--Approval (v1.0)</v>
      </c>
      <c r="G226" s="8" t="s">
        <v>400</v>
      </c>
      <c r="H226" s="9" t="str">
        <f aca="false">HYPERLINK("https://vtmf.veevavault.com/ui/#doc_info/1461294/1/0", "EDMS-GCO-16077643")</f>
        <v>EDMS-GCO-16077643</v>
      </c>
    </row>
    <row r="227" customFormat="false" ht="14.25" hidden="false" customHeight="true" outlineLevel="0" collapsed="false">
      <c r="E227" s="8" t="s">
        <v>132</v>
      </c>
      <c r="F227" s="9" t="str">
        <f aca="false">HYPERLINK("https://vtmf.veevavault.com/ui/#doc_info/1461303/1/0", "26866138LYM2034-KOR--Approval (v1.0)")</f>
        <v>26866138LYM2034-KOR--Approval (v1.0)</v>
      </c>
      <c r="G227" s="8" t="s">
        <v>401</v>
      </c>
      <c r="H227" s="9" t="str">
        <f aca="false">HYPERLINK("https://vtmf.veevavault.com/ui/#doc_info/1461303/1/0", "EDMS-GCO-16077646")</f>
        <v>EDMS-GCO-16077646</v>
      </c>
    </row>
    <row r="228" customFormat="false" ht="14.25" hidden="false" customHeight="true" outlineLevel="0" collapsed="false">
      <c r="E228" s="8" t="s">
        <v>132</v>
      </c>
      <c r="F228" s="9" t="str">
        <f aca="false">HYPERLINK("https://vtmf.veevavault.com/ui/#doc_info/1461316/1/0", "26866138LYM2034-KOR--Approval (v1.0)")</f>
        <v>26866138LYM2034-KOR--Approval (v1.0)</v>
      </c>
      <c r="G228" s="8" t="s">
        <v>402</v>
      </c>
      <c r="H228" s="9" t="str">
        <f aca="false">HYPERLINK("https://vtmf.veevavault.com/ui/#doc_info/1461316/1/0", "EDMS-GCO-16077654")</f>
        <v>EDMS-GCO-16077654</v>
      </c>
    </row>
    <row r="229" customFormat="false" ht="14.25" hidden="false" customHeight="true" outlineLevel="0" collapsed="false">
      <c r="E229" s="8" t="s">
        <v>132</v>
      </c>
      <c r="F229" s="9" t="str">
        <f aca="false">HYPERLINK("https://vtmf.veevavault.com/ui/#doc_info/1461328/1/0", "26866138LYM2034-KOR--Approval (v1.0)")</f>
        <v>26866138LYM2034-KOR--Approval (v1.0)</v>
      </c>
      <c r="G229" s="8" t="s">
        <v>403</v>
      </c>
      <c r="H229" s="9" t="str">
        <f aca="false">HYPERLINK("https://vtmf.veevavault.com/ui/#doc_info/1461328/1/0", "EDMS-GCO-16077657")</f>
        <v>EDMS-GCO-16077657</v>
      </c>
    </row>
    <row r="230" customFormat="false" ht="14.25" hidden="false" customHeight="true" outlineLevel="0" collapsed="false">
      <c r="E230" s="8" t="s">
        <v>132</v>
      </c>
      <c r="F230" s="9" t="str">
        <f aca="false">HYPERLINK("https://vtmf.veevavault.com/ui/#doc_info/1461338/1/0", "26866138LYM2034-KOR--Approval (v1.0)")</f>
        <v>26866138LYM2034-KOR--Approval (v1.0)</v>
      </c>
      <c r="G230" s="8" t="s">
        <v>404</v>
      </c>
      <c r="H230" s="9" t="str">
        <f aca="false">HYPERLINK("https://vtmf.veevavault.com/ui/#doc_info/1461338/1/0", "EDMS-GCO-16077660")</f>
        <v>EDMS-GCO-16077660</v>
      </c>
    </row>
    <row r="231" customFormat="false" ht="14.25" hidden="false" customHeight="true" outlineLevel="0" collapsed="false">
      <c r="E231" s="8" t="s">
        <v>132</v>
      </c>
      <c r="F231" s="9" t="str">
        <f aca="false">HYPERLINK("https://vtmf.veevavault.com/ui/#doc_info/1461348/1/0", "26866138LYM2034-KOR--Approval (v1.0)")</f>
        <v>26866138LYM2034-KOR--Approval (v1.0)</v>
      </c>
      <c r="G231" s="8" t="s">
        <v>405</v>
      </c>
      <c r="H231" s="9" t="str">
        <f aca="false">HYPERLINK("https://vtmf.veevavault.com/ui/#doc_info/1461348/1/0", "EDMS-GCO-16077663")</f>
        <v>EDMS-GCO-16077663</v>
      </c>
    </row>
    <row r="232" customFormat="false" ht="14.25" hidden="false" customHeight="true" outlineLevel="0" collapsed="false">
      <c r="E232" s="8" t="s">
        <v>132</v>
      </c>
      <c r="F232" s="9" t="str">
        <f aca="false">HYPERLINK("https://vtmf.veevavault.com/ui/#doc_info/1461358/1/0", "26866138LYM2034-KOR--Approval (v1.0)")</f>
        <v>26866138LYM2034-KOR--Approval (v1.0)</v>
      </c>
      <c r="G232" s="8" t="s">
        <v>406</v>
      </c>
      <c r="H232" s="9" t="str">
        <f aca="false">HYPERLINK("https://vtmf.veevavault.com/ui/#doc_info/1461358/1/0", "EDMS-GCO-16077666")</f>
        <v>EDMS-GCO-16077666</v>
      </c>
    </row>
    <row r="233" customFormat="false" ht="14.25" hidden="false" customHeight="true" outlineLevel="0" collapsed="false">
      <c r="E233" s="8" t="s">
        <v>132</v>
      </c>
      <c r="F233" s="9" t="str">
        <f aca="false">HYPERLINK("https://vtmf.veevavault.com/ui/#doc_info/1461371/1/0", "26866138LYM2034-KOR--Approval (v1.0)")</f>
        <v>26866138LYM2034-KOR--Approval (v1.0)</v>
      </c>
      <c r="G233" s="8" t="s">
        <v>407</v>
      </c>
      <c r="H233" s="9" t="str">
        <f aca="false">HYPERLINK("https://vtmf.veevavault.com/ui/#doc_info/1461371/1/0", "EDMS-GCO-16077669")</f>
        <v>EDMS-GCO-16077669</v>
      </c>
    </row>
    <row r="234" customFormat="false" ht="14.25" hidden="false" customHeight="true" outlineLevel="0" collapsed="false">
      <c r="E234" s="8" t="s">
        <v>132</v>
      </c>
      <c r="F234" s="9" t="str">
        <f aca="false">HYPERLINK("https://vtmf.veevavault.com/ui/#doc_info/1461381/1/0", "26866138LYM2034-KOR--Approval (v1.0)")</f>
        <v>26866138LYM2034-KOR--Approval (v1.0)</v>
      </c>
      <c r="G234" s="8" t="s">
        <v>408</v>
      </c>
      <c r="H234" s="9" t="str">
        <f aca="false">HYPERLINK("https://vtmf.veevavault.com/ui/#doc_info/1461381/1/0", "EDMS-GCO-16077672")</f>
        <v>EDMS-GCO-16077672</v>
      </c>
    </row>
    <row r="235" customFormat="false" ht="14.25" hidden="false" customHeight="true" outlineLevel="0" collapsed="false">
      <c r="E235" s="8" t="s">
        <v>132</v>
      </c>
      <c r="F235" s="9" t="str">
        <f aca="false">HYPERLINK("https://vtmf.veevavault.com/ui/#doc_info/1461389/1/0", "26866138LYM2034-KOR--Approval (v1.0)")</f>
        <v>26866138LYM2034-KOR--Approval (v1.0)</v>
      </c>
      <c r="G235" s="8" t="s">
        <v>409</v>
      </c>
      <c r="H235" s="9" t="str">
        <f aca="false">HYPERLINK("https://vtmf.veevavault.com/ui/#doc_info/1461389/1/0", "EDMS-GCO-16077675")</f>
        <v>EDMS-GCO-16077675</v>
      </c>
    </row>
    <row r="236" customFormat="false" ht="14.25" hidden="false" customHeight="true" outlineLevel="0" collapsed="false">
      <c r="E236" s="8" t="s">
        <v>132</v>
      </c>
      <c r="F236" s="9" t="str">
        <f aca="false">HYPERLINK("https://vtmf.veevavault.com/ui/#doc_info/1461399/1/0", "26866138LYM2034-KOR--Approval (v1.0)")</f>
        <v>26866138LYM2034-KOR--Approval (v1.0)</v>
      </c>
      <c r="G236" s="8" t="s">
        <v>410</v>
      </c>
      <c r="H236" s="9" t="str">
        <f aca="false">HYPERLINK("https://vtmf.veevavault.com/ui/#doc_info/1461399/1/0", "EDMS-GCO-16077678")</f>
        <v>EDMS-GCO-16077678</v>
      </c>
    </row>
    <row r="237" customFormat="false" ht="14.25" hidden="false" customHeight="true" outlineLevel="0" collapsed="false">
      <c r="E237" s="8" t="s">
        <v>132</v>
      </c>
      <c r="F237" s="9" t="str">
        <f aca="false">HYPERLINK("https://vtmf.veevavault.com/ui/#doc_info/1461409/1/0", "26866138LYM2034-KOR--Approval (v1.0)")</f>
        <v>26866138LYM2034-KOR--Approval (v1.0)</v>
      </c>
      <c r="G237" s="8" t="s">
        <v>411</v>
      </c>
      <c r="H237" s="9" t="str">
        <f aca="false">HYPERLINK("https://vtmf.veevavault.com/ui/#doc_info/1461409/1/0", "EDMS-GCO-16077681")</f>
        <v>EDMS-GCO-16077681</v>
      </c>
    </row>
    <row r="238" customFormat="false" ht="14.25" hidden="false" customHeight="true" outlineLevel="0" collapsed="false">
      <c r="E238" s="8" t="s">
        <v>132</v>
      </c>
      <c r="F238" s="9" t="str">
        <f aca="false">HYPERLINK("https://vtmf.veevavault.com/ui/#doc_info/1461950/1/1", "26866138LYM2034-KOR--Approval (v1.1)")</f>
        <v>26866138LYM2034-KOR--Approval (v1.1)</v>
      </c>
      <c r="G238" s="8" t="s">
        <v>412</v>
      </c>
      <c r="H238" s="9" t="str">
        <f aca="false">HYPERLINK("https://vtmf.veevavault.com/ui/#doc_info/1461950/1/1", "EDMS-GCO-16259016")</f>
        <v>EDMS-GCO-16259016</v>
      </c>
    </row>
    <row r="239" customFormat="false" ht="14.25" hidden="false" customHeight="true" outlineLevel="0" collapsed="false">
      <c r="E239" s="8" t="s">
        <v>132</v>
      </c>
      <c r="F239" s="9" t="str">
        <f aca="false">HYPERLINK("https://vtmf.veevavault.com/ui/#doc_info/1462064/1/0", "26866138LYM2034-KOR--Approval (v1.0)")</f>
        <v>26866138LYM2034-KOR--Approval (v1.0)</v>
      </c>
      <c r="G239" s="8" t="s">
        <v>413</v>
      </c>
      <c r="H239" s="9" t="str">
        <f aca="false">HYPERLINK("https://vtmf.veevavault.com/ui/#doc_info/1462064/1/0", "EDMS-GCO-16261645")</f>
        <v>EDMS-GCO-16261645</v>
      </c>
    </row>
    <row r="240" customFormat="false" ht="14.25" hidden="false" customHeight="true" outlineLevel="0" collapsed="false">
      <c r="E240" s="8" t="s">
        <v>132</v>
      </c>
      <c r="F240" s="9" t="str">
        <f aca="false">HYPERLINK("https://vtmf.veevavault.com/ui/#doc_info/1469172/1/0", "26866138LYM2034-KOR--Approval (v1.0)")</f>
        <v>26866138LYM2034-KOR--Approval (v1.0)</v>
      </c>
      <c r="G240" s="8" t="s">
        <v>414</v>
      </c>
      <c r="H240" s="9" t="str">
        <f aca="false">HYPERLINK("https://vtmf.veevavault.com/ui/#doc_info/1469172/1/0", "EDMS-GCO-18213624")</f>
        <v>EDMS-GCO-18213624</v>
      </c>
    </row>
    <row r="241" customFormat="false" ht="14.25" hidden="false" customHeight="true" outlineLevel="0" collapsed="false">
      <c r="E241" s="8" t="s">
        <v>132</v>
      </c>
      <c r="F241" s="9" t="str">
        <f aca="false">HYPERLINK("https://vtmf.veevavault.com/ui/#doc_info/1472799/1/0", "26866138LYM2034-KOR--Approval (v1.0)")</f>
        <v>26866138LYM2034-KOR--Approval (v1.0)</v>
      </c>
      <c r="G241" s="8" t="s">
        <v>415</v>
      </c>
      <c r="H241" s="9" t="str">
        <f aca="false">HYPERLINK("https://vtmf.veevavault.com/ui/#doc_info/1472799/1/0", "EDMS-GCO-48329186")</f>
        <v>EDMS-GCO-48329186</v>
      </c>
    </row>
    <row r="242" customFormat="false" ht="14.25" hidden="false" customHeight="true" outlineLevel="0" collapsed="false">
      <c r="E242" s="8" t="s">
        <v>132</v>
      </c>
      <c r="F242" s="9" t="str">
        <f aca="false">HYPERLINK("https://vtmf.veevavault.com/ui/#doc_info/1529355/1/0", "26866138LYM2034-KOR--Approval (v1.0)")</f>
        <v>26866138LYM2034-KOR--Approval (v1.0)</v>
      </c>
      <c r="G242" s="8" t="s">
        <v>416</v>
      </c>
      <c r="H242" s="9" t="str">
        <f aca="false">HYPERLINK("https://vtmf.veevavault.com/ui/#doc_info/1529355/1/0", "EDMS-GCO-67146912")</f>
        <v>EDMS-GCO-67146912</v>
      </c>
    </row>
    <row r="243" customFormat="false" ht="14.25" hidden="false" customHeight="true" outlineLevel="0" collapsed="false">
      <c r="E243" s="8" t="s">
        <v>132</v>
      </c>
      <c r="F243" s="9" t="str">
        <f aca="false">HYPERLINK("https://vtmf.veevavault.com/ui/#doc_info/1529665/1/0", "26866138LYM2034-KOR--Approval (v1.0)")</f>
        <v>26866138LYM2034-KOR--Approval (v1.0)</v>
      </c>
      <c r="G243" s="8" t="s">
        <v>417</v>
      </c>
      <c r="H243" s="9" t="str">
        <f aca="false">HYPERLINK("https://vtmf.veevavault.com/ui/#doc_info/1529665/1/0", "EDMS-GCO-26430293")</f>
        <v>EDMS-GCO-26430293</v>
      </c>
    </row>
    <row r="244" customFormat="false" ht="14.25" hidden="false" customHeight="true" outlineLevel="0" collapsed="false">
      <c r="E244" s="8" t="s">
        <v>132</v>
      </c>
      <c r="F244" s="9" t="str">
        <f aca="false">HYPERLINK("https://vtmf.veevavault.com/ui/#doc_info/1529674/1/0", "26866138LYM2034-KOR--Approval (v1.0)")</f>
        <v>26866138LYM2034-KOR--Approval (v1.0)</v>
      </c>
      <c r="G244" s="8" t="s">
        <v>418</v>
      </c>
      <c r="H244" s="9" t="str">
        <f aca="false">HYPERLINK("https://vtmf.veevavault.com/ui/#doc_info/1529674/1/0", "EDMS-GCO-26430306")</f>
        <v>EDMS-GCO-26430306</v>
      </c>
    </row>
    <row r="245" customFormat="false" ht="14.25" hidden="false" customHeight="true" outlineLevel="0" collapsed="false">
      <c r="E245" s="8" t="s">
        <v>132</v>
      </c>
      <c r="F245" s="9" t="str">
        <f aca="false">HYPERLINK("https://vtmf.veevavault.com/ui/#doc_info/1529684/1/0", "26866138LYM2034-KOR--Approval (v1.0)")</f>
        <v>26866138LYM2034-KOR--Approval (v1.0)</v>
      </c>
      <c r="G245" s="8" t="s">
        <v>419</v>
      </c>
      <c r="H245" s="9" t="str">
        <f aca="false">HYPERLINK("https://vtmf.veevavault.com/ui/#doc_info/1529684/1/0", "EDMS-GCO-26430314")</f>
        <v>EDMS-GCO-26430314</v>
      </c>
    </row>
    <row r="246" customFormat="false" ht="14.25" hidden="false" customHeight="true" outlineLevel="0" collapsed="false">
      <c r="E246" s="8" t="s">
        <v>132</v>
      </c>
      <c r="F246" s="9" t="str">
        <f aca="false">HYPERLINK("https://vtmf.veevavault.com/ui/#doc_info/1540622/1/0", "26866138LYM2034-KOR--Approval (v1.0)")</f>
        <v>26866138LYM2034-KOR--Approval (v1.0)</v>
      </c>
      <c r="G246" s="8" t="s">
        <v>420</v>
      </c>
      <c r="H246" s="9" t="str">
        <f aca="false">HYPERLINK("https://vtmf.veevavault.com/ui/#doc_info/1540622/1/0", "EDMS-GCO-27712154")</f>
        <v>EDMS-GCO-27712154</v>
      </c>
    </row>
    <row r="247" customFormat="false" ht="14.25" hidden="false" customHeight="true" outlineLevel="0" collapsed="false">
      <c r="E247" s="8" t="s">
        <v>132</v>
      </c>
      <c r="F247" s="9" t="str">
        <f aca="false">HYPERLINK("https://vtmf.veevavault.com/ui/#doc_info/1540633/1/0", "26866138LYM2034-KOR--Approval (v1.0)")</f>
        <v>26866138LYM2034-KOR--Approval (v1.0)</v>
      </c>
      <c r="G247" s="8" t="s">
        <v>421</v>
      </c>
      <c r="H247" s="9" t="str">
        <f aca="false">HYPERLINK("https://vtmf.veevavault.com/ui/#doc_info/1540633/1/0", "EDMS-GCO-27712159")</f>
        <v>EDMS-GCO-27712159</v>
      </c>
    </row>
    <row r="248" customFormat="false" ht="14.25" hidden="false" customHeight="true" outlineLevel="0" collapsed="false">
      <c r="E248" s="8" t="s">
        <v>132</v>
      </c>
      <c r="F248" s="9" t="str">
        <f aca="false">HYPERLINK("https://vtmf.veevavault.com/ui/#doc_info/1540644/1/0", "26866138LYM2034-KOR--Approval (v1.0)")</f>
        <v>26866138LYM2034-KOR--Approval (v1.0)</v>
      </c>
      <c r="G248" s="8" t="s">
        <v>422</v>
      </c>
      <c r="H248" s="9" t="str">
        <f aca="false">HYPERLINK("https://vtmf.veevavault.com/ui/#doc_info/1540644/1/0", "EDMS-GCO-27712161")</f>
        <v>EDMS-GCO-27712161</v>
      </c>
    </row>
    <row r="249" customFormat="false" ht="14.25" hidden="false" customHeight="true" outlineLevel="0" collapsed="false">
      <c r="E249" s="8" t="s">
        <v>132</v>
      </c>
      <c r="F249" s="9" t="str">
        <f aca="false">HYPERLINK("https://vtmf.veevavault.com/ui/#doc_info/1553476/1/0", "26866138LYM2034-KOR--Approval (v1.0)")</f>
        <v>26866138LYM2034-KOR--Approval (v1.0)</v>
      </c>
      <c r="G249" s="8" t="s">
        <v>393</v>
      </c>
      <c r="H249" s="9" t="str">
        <f aca="false">HYPERLINK("https://vtmf.veevavault.com/ui/#doc_info/1553476/1/0", "EDMS-GCO-30160349")</f>
        <v>EDMS-GCO-30160349</v>
      </c>
    </row>
    <row r="250" customFormat="false" ht="14.25" hidden="false" customHeight="true" outlineLevel="0" collapsed="false">
      <c r="E250" s="8" t="s">
        <v>132</v>
      </c>
      <c r="F250" s="9" t="str">
        <f aca="false">HYPERLINK("https://vtmf.veevavault.com/ui/#doc_info/1553483/1/0", "26866138LYM2034-KOR--Approval (v1.0)")</f>
        <v>26866138LYM2034-KOR--Approval (v1.0)</v>
      </c>
      <c r="G250" s="8" t="s">
        <v>393</v>
      </c>
      <c r="H250" s="9" t="str">
        <f aca="false">HYPERLINK("https://vtmf.veevavault.com/ui/#doc_info/1553483/1/0", "EDMS-GCO-30160350")</f>
        <v>EDMS-GCO-30160350</v>
      </c>
    </row>
    <row r="251" customFormat="false" ht="14.25" hidden="false" customHeight="true" outlineLevel="0" collapsed="false">
      <c r="E251" s="8" t="s">
        <v>132</v>
      </c>
      <c r="F251" s="9" t="str">
        <f aca="false">HYPERLINK("https://vtmf.veevavault.com/ui/#doc_info/1553492/1/0", "26866138LYM2034-KOR--Approval (v1.0)")</f>
        <v>26866138LYM2034-KOR--Approval (v1.0)</v>
      </c>
      <c r="G251" s="8" t="s">
        <v>393</v>
      </c>
      <c r="H251" s="9" t="str">
        <f aca="false">HYPERLINK("https://vtmf.veevavault.com/ui/#doc_info/1553492/1/0", "EDMS-GCO-30160351")</f>
        <v>EDMS-GCO-30160351</v>
      </c>
    </row>
    <row r="252" customFormat="false" ht="14.25" hidden="false" customHeight="true" outlineLevel="0" collapsed="false">
      <c r="E252" s="8" t="s">
        <v>132</v>
      </c>
      <c r="F252" s="9" t="str">
        <f aca="false">HYPERLINK("https://vtmf.veevavault.com/ui/#doc_info/1553500/1/0", "26866138LYM2034-KOR--Approval (v1.0)")</f>
        <v>26866138LYM2034-KOR--Approval (v1.0)</v>
      </c>
      <c r="G252" s="8" t="s">
        <v>393</v>
      </c>
      <c r="H252" s="9" t="str">
        <f aca="false">HYPERLINK("https://vtmf.veevavault.com/ui/#doc_info/1553500/1/0", "EDMS-GCO-30160352")</f>
        <v>EDMS-GCO-30160352</v>
      </c>
    </row>
    <row r="253" customFormat="false" ht="14.25" hidden="false" customHeight="true" outlineLevel="0" collapsed="false">
      <c r="E253" s="8" t="s">
        <v>132</v>
      </c>
      <c r="F253" s="9" t="str">
        <f aca="false">HYPERLINK("https://vtmf.veevavault.com/ui/#doc_info/1553509/1/0", "26866138LYM2034-KOR--Approval (v1.0)")</f>
        <v>26866138LYM2034-KOR--Approval (v1.0)</v>
      </c>
      <c r="G253" s="8" t="s">
        <v>393</v>
      </c>
      <c r="H253" s="9" t="str">
        <f aca="false">HYPERLINK("https://vtmf.veevavault.com/ui/#doc_info/1553509/1/0", "EDMS-GCO-30160353")</f>
        <v>EDMS-GCO-30160353</v>
      </c>
    </row>
    <row r="254" customFormat="false" ht="14.25" hidden="false" customHeight="true" outlineLevel="0" collapsed="false">
      <c r="E254" s="8" t="s">
        <v>132</v>
      </c>
      <c r="F254" s="9" t="str">
        <f aca="false">HYPERLINK("https://vtmf.veevavault.com/ui/#doc_info/1553519/1/0", "26866138LYM2034-KOR--Approval (v1.0)")</f>
        <v>26866138LYM2034-KOR--Approval (v1.0)</v>
      </c>
      <c r="G254" s="8" t="s">
        <v>393</v>
      </c>
      <c r="H254" s="9" t="str">
        <f aca="false">HYPERLINK("https://vtmf.veevavault.com/ui/#doc_info/1553519/1/0", "EDMS-GCO-30160354")</f>
        <v>EDMS-GCO-30160354</v>
      </c>
    </row>
    <row r="255" customFormat="false" ht="14.25" hidden="false" customHeight="true" outlineLevel="0" collapsed="false">
      <c r="E255" s="8" t="s">
        <v>132</v>
      </c>
      <c r="F255" s="9" t="str">
        <f aca="false">HYPERLINK("https://vtmf.veevavault.com/ui/#doc_info/1564797/1/0", "26866138LYM2034-KOR--Approval (v1.0)")</f>
        <v>26866138LYM2034-KOR--Approval (v1.0)</v>
      </c>
      <c r="G255" s="8" t="s">
        <v>423</v>
      </c>
      <c r="H255" s="9" t="str">
        <f aca="false">HYPERLINK("https://vtmf.veevavault.com/ui/#doc_info/1564797/1/0", "EDMS-GCO-31508681")</f>
        <v>EDMS-GCO-31508681</v>
      </c>
    </row>
    <row r="256" customFormat="false" ht="14.25" hidden="false" customHeight="true" outlineLevel="0" collapsed="false">
      <c r="E256" s="8" t="s">
        <v>132</v>
      </c>
      <c r="F256" s="9" t="str">
        <f aca="false">HYPERLINK("https://vtmf.veevavault.com/ui/#doc_info/1564805/1/0", "26866138LYM2034-KOR--Approval (v1.0)")</f>
        <v>26866138LYM2034-KOR--Approval (v1.0)</v>
      </c>
      <c r="G256" s="8" t="s">
        <v>424</v>
      </c>
      <c r="H256" s="9" t="str">
        <f aca="false">HYPERLINK("https://vtmf.veevavault.com/ui/#doc_info/1564805/1/0", "EDMS-GCO-31508682")</f>
        <v>EDMS-GCO-31508682</v>
      </c>
    </row>
    <row r="257" customFormat="false" ht="14.25" hidden="false" customHeight="true" outlineLevel="0" collapsed="false">
      <c r="E257" s="8" t="s">
        <v>132</v>
      </c>
      <c r="F257" s="9" t="str">
        <f aca="false">HYPERLINK("https://vtmf.veevavault.com/ui/#doc_info/1564814/1/0", "26866138LYM2034-KOR--Approval (v1.0)")</f>
        <v>26866138LYM2034-KOR--Approval (v1.0)</v>
      </c>
      <c r="G257" s="8" t="s">
        <v>425</v>
      </c>
      <c r="H257" s="9" t="str">
        <f aca="false">HYPERLINK("https://vtmf.veevavault.com/ui/#doc_info/1564814/1/0", "EDMS-GCO-31508683")</f>
        <v>EDMS-GCO-31508683</v>
      </c>
    </row>
    <row r="258" customFormat="false" ht="14.25" hidden="false" customHeight="true" outlineLevel="0" collapsed="false">
      <c r="E258" s="8" t="s">
        <v>132</v>
      </c>
      <c r="F258" s="9" t="str">
        <f aca="false">HYPERLINK("https://vtmf.veevavault.com/ui/#doc_info/1564823/1/0", "26866138LYM2034-KOR--Approval (v1.0)")</f>
        <v>26866138LYM2034-KOR--Approval (v1.0)</v>
      </c>
      <c r="G258" s="8" t="s">
        <v>426</v>
      </c>
      <c r="H258" s="9" t="str">
        <f aca="false">HYPERLINK("https://vtmf.veevavault.com/ui/#doc_info/1564823/1/0", "EDMS-GCO-31508684")</f>
        <v>EDMS-GCO-31508684</v>
      </c>
    </row>
    <row r="259" customFormat="false" ht="14.25" hidden="false" customHeight="true" outlineLevel="0" collapsed="false">
      <c r="E259" s="8" t="s">
        <v>132</v>
      </c>
      <c r="F259" s="9" t="str">
        <f aca="false">HYPERLINK("https://vtmf.veevavault.com/ui/#doc_info/1564841/1/0", "26866138LYM2034-KOR--Approval (v1.0)")</f>
        <v>26866138LYM2034-KOR--Approval (v1.0)</v>
      </c>
      <c r="G259" s="8" t="s">
        <v>427</v>
      </c>
      <c r="H259" s="9" t="str">
        <f aca="false">HYPERLINK("https://vtmf.veevavault.com/ui/#doc_info/1564841/1/0", "EDMS-GCO-31508686")</f>
        <v>EDMS-GCO-31508686</v>
      </c>
    </row>
    <row r="260" customFormat="false" ht="14.25" hidden="false" customHeight="true" outlineLevel="0" collapsed="false">
      <c r="E260" s="8" t="s">
        <v>132</v>
      </c>
      <c r="F260" s="9" t="str">
        <f aca="false">HYPERLINK("https://vtmf.veevavault.com/ui/#doc_info/1564850/1/0", "26866138LYM2034-KOR--Approval (v1.0)")</f>
        <v>26866138LYM2034-KOR--Approval (v1.0)</v>
      </c>
      <c r="G260" s="8" t="s">
        <v>428</v>
      </c>
      <c r="H260" s="9" t="str">
        <f aca="false">HYPERLINK("https://vtmf.veevavault.com/ui/#doc_info/1564850/1/0", "EDMS-GCO-31508687")</f>
        <v>EDMS-GCO-31508687</v>
      </c>
    </row>
    <row r="261" customFormat="false" ht="14.25" hidden="false" customHeight="true" outlineLevel="0" collapsed="false">
      <c r="E261" s="8" t="s">
        <v>132</v>
      </c>
      <c r="F261" s="9" t="str">
        <f aca="false">HYPERLINK("https://vtmf.veevavault.com/ui/#doc_info/1564859/1/0", "26866138LYM2034-KOR--Approval (v1.0)")</f>
        <v>26866138LYM2034-KOR--Approval (v1.0)</v>
      </c>
      <c r="G261" s="8" t="s">
        <v>429</v>
      </c>
      <c r="H261" s="9" t="str">
        <f aca="false">HYPERLINK("https://vtmf.veevavault.com/ui/#doc_info/1564859/1/0", "EDMS-GCO-31508688")</f>
        <v>EDMS-GCO-31508688</v>
      </c>
    </row>
    <row r="262" customFormat="false" ht="14.25" hidden="false" customHeight="true" outlineLevel="0" collapsed="false">
      <c r="E262" s="8" t="s">
        <v>132</v>
      </c>
      <c r="F262" s="9" t="str">
        <f aca="false">HYPERLINK("https://vtmf.veevavault.com/ui/#doc_info/1564867/1/0", "26866138LYM2034-KOR--Approval (v1.0)")</f>
        <v>26866138LYM2034-KOR--Approval (v1.0)</v>
      </c>
      <c r="G262" s="8" t="s">
        <v>430</v>
      </c>
      <c r="H262" s="9" t="str">
        <f aca="false">HYPERLINK("https://vtmf.veevavault.com/ui/#doc_info/1564867/1/0", "EDMS-GCO-31508689")</f>
        <v>EDMS-GCO-31508689</v>
      </c>
    </row>
    <row r="263" customFormat="false" ht="14.25" hidden="false" customHeight="true" outlineLevel="0" collapsed="false">
      <c r="E263" s="8" t="s">
        <v>132</v>
      </c>
      <c r="F263" s="9" t="str">
        <f aca="false">HYPERLINK("https://vtmf.veevavault.com/ui/#doc_info/1564876/1/0", "26866138LYM2034-KOR--Approval (v1.0)")</f>
        <v>26866138LYM2034-KOR--Approval (v1.0)</v>
      </c>
      <c r="G263" s="8" t="s">
        <v>431</v>
      </c>
      <c r="H263" s="9" t="str">
        <f aca="false">HYPERLINK("https://vtmf.veevavault.com/ui/#doc_info/1564876/1/0", "EDMS-GCO-31508690")</f>
        <v>EDMS-GCO-31508690</v>
      </c>
    </row>
    <row r="264" customFormat="false" ht="14.25" hidden="false" customHeight="true" outlineLevel="0" collapsed="false">
      <c r="E264" s="8" t="s">
        <v>132</v>
      </c>
      <c r="F264" s="9" t="str">
        <f aca="false">HYPERLINK("https://vtmf.veevavault.com/ui/#doc_info/1564885/1/0", "26866138LYM2034-KOR--Approval (v1.0)")</f>
        <v>26866138LYM2034-KOR--Approval (v1.0)</v>
      </c>
      <c r="G264" s="8" t="s">
        <v>432</v>
      </c>
      <c r="H264" s="9" t="str">
        <f aca="false">HYPERLINK("https://vtmf.veevavault.com/ui/#doc_info/1564885/1/0", "EDMS-GCO-31508691")</f>
        <v>EDMS-GCO-31508691</v>
      </c>
    </row>
    <row r="265" customFormat="false" ht="14.25" hidden="false" customHeight="true" outlineLevel="0" collapsed="false">
      <c r="E265" s="8" t="s">
        <v>132</v>
      </c>
      <c r="F265" s="9" t="str">
        <f aca="false">HYPERLINK("https://vtmf.veevavault.com/ui/#doc_info/1564894/1/0", "26866138LYM2034-KOR--Approval (v1.0)")</f>
        <v>26866138LYM2034-KOR--Approval (v1.0)</v>
      </c>
      <c r="G265" s="8" t="s">
        <v>433</v>
      </c>
      <c r="H265" s="9" t="str">
        <f aca="false">HYPERLINK("https://vtmf.veevavault.com/ui/#doc_info/1564894/1/0", "EDMS-GCO-31508692")</f>
        <v>EDMS-GCO-31508692</v>
      </c>
    </row>
    <row r="266" customFormat="false" ht="14.25" hidden="false" customHeight="true" outlineLevel="0" collapsed="false">
      <c r="E266" s="8" t="s">
        <v>132</v>
      </c>
      <c r="F266" s="9" t="str">
        <f aca="false">HYPERLINK("https://vtmf.veevavault.com/ui/#doc_info/1564904/1/0", "26866138LYM2034-KOR--Approval (v1.0)")</f>
        <v>26866138LYM2034-KOR--Approval (v1.0)</v>
      </c>
      <c r="G266" s="8" t="s">
        <v>434</v>
      </c>
      <c r="H266" s="9" t="str">
        <f aca="false">HYPERLINK("https://vtmf.veevavault.com/ui/#doc_info/1564904/1/0", "EDMS-GCO-31508693")</f>
        <v>EDMS-GCO-31508693</v>
      </c>
    </row>
    <row r="267" customFormat="false" ht="14.25" hidden="false" customHeight="true" outlineLevel="0" collapsed="false">
      <c r="E267" s="8" t="s">
        <v>132</v>
      </c>
      <c r="F267" s="9" t="str">
        <f aca="false">HYPERLINK("https://vtmf.veevavault.com/ui/#doc_info/1564918/1/0", "26866138LYM2034-KOR--Approval (v1.0)")</f>
        <v>26866138LYM2034-KOR--Approval (v1.0)</v>
      </c>
      <c r="G267" s="8" t="s">
        <v>435</v>
      </c>
      <c r="H267" s="9" t="str">
        <f aca="false">HYPERLINK("https://vtmf.veevavault.com/ui/#doc_info/1564918/1/0", "EDMS-GCO-31508694")</f>
        <v>EDMS-GCO-31508694</v>
      </c>
    </row>
    <row r="268" customFormat="false" ht="14.25" hidden="false" customHeight="true" outlineLevel="0" collapsed="false">
      <c r="E268" s="8" t="s">
        <v>132</v>
      </c>
      <c r="F268" s="9" t="str">
        <f aca="false">HYPERLINK("https://vtmf.veevavault.com/ui/#doc_info/1564925/1/0", "26866138LYM2034-KOR--Approval (v1.0)")</f>
        <v>26866138LYM2034-KOR--Approval (v1.0)</v>
      </c>
      <c r="G268" s="8" t="s">
        <v>436</v>
      </c>
      <c r="H268" s="9" t="str">
        <f aca="false">HYPERLINK("https://vtmf.veevavault.com/ui/#doc_info/1564925/1/0", "EDMS-GCO-31508719")</f>
        <v>EDMS-GCO-31508719</v>
      </c>
    </row>
    <row r="269" customFormat="false" ht="14.25" hidden="false" customHeight="true" outlineLevel="0" collapsed="false">
      <c r="E269" s="8" t="s">
        <v>132</v>
      </c>
      <c r="F269" s="9" t="str">
        <f aca="false">HYPERLINK("https://vtmf.veevavault.com/ui/#doc_info/1564939/1/0", "26866138LYM2034-KOR--Approval (v1.0)")</f>
        <v>26866138LYM2034-KOR--Approval (v1.0)</v>
      </c>
      <c r="G269" s="8" t="s">
        <v>437</v>
      </c>
      <c r="H269" s="9" t="str">
        <f aca="false">HYPERLINK("https://vtmf.veevavault.com/ui/#doc_info/1564939/1/0", "EDMS-GCO-31508720")</f>
        <v>EDMS-GCO-31508720</v>
      </c>
    </row>
    <row r="270" customFormat="false" ht="14.25" hidden="false" customHeight="true" outlineLevel="0" collapsed="false">
      <c r="E270" s="8" t="s">
        <v>132</v>
      </c>
      <c r="F270" s="9" t="str">
        <f aca="false">HYPERLINK("https://vtmf.veevavault.com/ui/#doc_info/1564950/1/0", "26866138LYM2034-KOR--Approval (v1.0)")</f>
        <v>26866138LYM2034-KOR--Approval (v1.0)</v>
      </c>
      <c r="G270" s="8" t="s">
        <v>438</v>
      </c>
      <c r="H270" s="9" t="str">
        <f aca="false">HYPERLINK("https://vtmf.veevavault.com/ui/#doc_info/1564950/1/0", "EDMS-GCO-31508721")</f>
        <v>EDMS-GCO-31508721</v>
      </c>
    </row>
    <row r="271" customFormat="false" ht="14.25" hidden="false" customHeight="true" outlineLevel="0" collapsed="false">
      <c r="E271" s="8" t="s">
        <v>132</v>
      </c>
      <c r="F271" s="9" t="str">
        <f aca="false">HYPERLINK("https://vtmf.veevavault.com/ui/#doc_info/1564959/1/0", "26866138LYM2034-KOR--Approval (v1.0)")</f>
        <v>26866138LYM2034-KOR--Approval (v1.0)</v>
      </c>
      <c r="G271" s="8" t="s">
        <v>439</v>
      </c>
      <c r="H271" s="9" t="str">
        <f aca="false">HYPERLINK("https://vtmf.veevavault.com/ui/#doc_info/1564959/1/0", "EDMS-GCO-31508722")</f>
        <v>EDMS-GCO-31508722</v>
      </c>
    </row>
    <row r="272" customFormat="false" ht="14.25" hidden="false" customHeight="true" outlineLevel="0" collapsed="false">
      <c r="E272" s="8" t="s">
        <v>132</v>
      </c>
      <c r="F272" s="9" t="str">
        <f aca="false">HYPERLINK("https://vtmf.veevavault.com/ui/#doc_info/1564973/1/0", "26866138LYM2034-KOR--Approval (v1.0)")</f>
        <v>26866138LYM2034-KOR--Approval (v1.0)</v>
      </c>
      <c r="G272" s="8" t="s">
        <v>440</v>
      </c>
      <c r="H272" s="9" t="str">
        <f aca="false">HYPERLINK("https://vtmf.veevavault.com/ui/#doc_info/1564973/1/0", "EDMS-GCO-31508723")</f>
        <v>EDMS-GCO-31508723</v>
      </c>
    </row>
    <row r="273" customFormat="false" ht="14.25" hidden="false" customHeight="true" outlineLevel="0" collapsed="false">
      <c r="E273" s="8" t="s">
        <v>132</v>
      </c>
      <c r="F273" s="9" t="str">
        <f aca="false">HYPERLINK("https://vtmf.veevavault.com/ui/#doc_info/1564983/1/0", "26866138LYM2034-KOR--Approval (v1.0)")</f>
        <v>26866138LYM2034-KOR--Approval (v1.0)</v>
      </c>
      <c r="G273" s="8" t="s">
        <v>441</v>
      </c>
      <c r="H273" s="9" t="str">
        <f aca="false">HYPERLINK("https://vtmf.veevavault.com/ui/#doc_info/1564983/1/0", "EDMS-GCO-31508724")</f>
        <v>EDMS-GCO-31508724</v>
      </c>
    </row>
    <row r="274" customFormat="false" ht="14.25" hidden="false" customHeight="true" outlineLevel="0" collapsed="false">
      <c r="E274" s="8" t="s">
        <v>132</v>
      </c>
      <c r="F274" s="9" t="str">
        <f aca="false">HYPERLINK("https://vtmf.veevavault.com/ui/#doc_info/1564993/1/0", "26866138LYM2034-KOR--Approval (v1.0)")</f>
        <v>26866138LYM2034-KOR--Approval (v1.0)</v>
      </c>
      <c r="G274" s="8" t="s">
        <v>442</v>
      </c>
      <c r="H274" s="9" t="str">
        <f aca="false">HYPERLINK("https://vtmf.veevavault.com/ui/#doc_info/1564993/1/0", "EDMS-GCO-31508725")</f>
        <v>EDMS-GCO-31508725</v>
      </c>
    </row>
    <row r="275" customFormat="false" ht="14.25" hidden="false" customHeight="true" outlineLevel="0" collapsed="false">
      <c r="E275" s="8" t="s">
        <v>132</v>
      </c>
      <c r="F275" s="9" t="str">
        <f aca="false">HYPERLINK("https://vtmf.veevavault.com/ui/#doc_info/1565001/1/0", "26866138LYM2034-KOR--Approval (v1.0)")</f>
        <v>26866138LYM2034-KOR--Approval (v1.0)</v>
      </c>
      <c r="G275" s="8" t="s">
        <v>443</v>
      </c>
      <c r="H275" s="9" t="str">
        <f aca="false">HYPERLINK("https://vtmf.veevavault.com/ui/#doc_info/1565001/1/0", "EDMS-GCO-31508726")</f>
        <v>EDMS-GCO-31508726</v>
      </c>
    </row>
    <row r="276" customFormat="false" ht="14.25" hidden="false" customHeight="true" outlineLevel="0" collapsed="false">
      <c r="E276" s="8" t="s">
        <v>132</v>
      </c>
      <c r="F276" s="9" t="str">
        <f aca="false">HYPERLINK("https://vtmf.veevavault.com/ui/#doc_info/1565010/1/0", "26866138LYM2034-KOR--Approval (v1.0)")</f>
        <v>26866138LYM2034-KOR--Approval (v1.0)</v>
      </c>
      <c r="G276" s="8" t="s">
        <v>444</v>
      </c>
      <c r="H276" s="9" t="str">
        <f aca="false">HYPERLINK("https://vtmf.veevavault.com/ui/#doc_info/1565010/1/0", "EDMS-GCO-31508727")</f>
        <v>EDMS-GCO-31508727</v>
      </c>
    </row>
    <row r="277" customFormat="false" ht="14.25" hidden="false" customHeight="true" outlineLevel="0" collapsed="false">
      <c r="E277" s="8" t="s">
        <v>132</v>
      </c>
      <c r="F277" s="9" t="str">
        <f aca="false">HYPERLINK("https://vtmf.veevavault.com/ui/#doc_info/1565018/1/0", "26866138LYM2034-KOR--Approval (v1.0)")</f>
        <v>26866138LYM2034-KOR--Approval (v1.0)</v>
      </c>
      <c r="G277" s="8" t="s">
        <v>445</v>
      </c>
      <c r="H277" s="9" t="str">
        <f aca="false">HYPERLINK("https://vtmf.veevavault.com/ui/#doc_info/1565018/1/0", "EDMS-GCO-31508728")</f>
        <v>EDMS-GCO-31508728</v>
      </c>
    </row>
    <row r="278" customFormat="false" ht="14.25" hidden="false" customHeight="true" outlineLevel="0" collapsed="false">
      <c r="E278" s="8" t="s">
        <v>132</v>
      </c>
      <c r="F278" s="9" t="str">
        <f aca="false">HYPERLINK("https://vtmf.veevavault.com/ui/#doc_info/1565028/1/0", "26866138LYM2034-KOR--Approval (v1.0)")</f>
        <v>26866138LYM2034-KOR--Approval (v1.0)</v>
      </c>
      <c r="G278" s="8" t="s">
        <v>446</v>
      </c>
      <c r="H278" s="9" t="str">
        <f aca="false">HYPERLINK("https://vtmf.veevavault.com/ui/#doc_info/1565028/1/0", "EDMS-GCO-31509763")</f>
        <v>EDMS-GCO-31509763</v>
      </c>
    </row>
    <row r="279" customFormat="false" ht="14.25" hidden="false" customHeight="true" outlineLevel="0" collapsed="false">
      <c r="E279" s="8" t="s">
        <v>132</v>
      </c>
      <c r="F279" s="9" t="str">
        <f aca="false">HYPERLINK("https://vtmf.veevavault.com/ui/#doc_info/1567693/1/0", "26866138LYM2034-KOR--Approval (v1.0)")</f>
        <v>26866138LYM2034-KOR--Approval (v1.0)</v>
      </c>
      <c r="G279" s="8" t="s">
        <v>447</v>
      </c>
      <c r="H279" s="9" t="str">
        <f aca="false">HYPERLINK("https://vtmf.veevavault.com/ui/#doc_info/1567693/1/0", "EDMS-GCO-32139302")</f>
        <v>EDMS-GCO-32139302</v>
      </c>
    </row>
    <row r="280" customFormat="false" ht="14.25" hidden="false" customHeight="true" outlineLevel="0" collapsed="false">
      <c r="E280" s="8" t="s">
        <v>132</v>
      </c>
      <c r="F280" s="9" t="str">
        <f aca="false">HYPERLINK("https://vtmf.veevavault.com/ui/#doc_info/1568215/1/0", "26866138LYM2034-KOR--Approval (v1.0)")</f>
        <v>26866138LYM2034-KOR--Approval (v1.0)</v>
      </c>
      <c r="G280" s="8" t="s">
        <v>448</v>
      </c>
      <c r="H280" s="9" t="str">
        <f aca="false">HYPERLINK("https://vtmf.veevavault.com/ui/#doc_info/1568215/1/0", "EDMS-GCO-32334512")</f>
        <v>EDMS-GCO-32334512</v>
      </c>
    </row>
    <row r="281" customFormat="false" ht="14.25" hidden="false" customHeight="true" outlineLevel="0" collapsed="false">
      <c r="E281" s="8" t="s">
        <v>132</v>
      </c>
      <c r="F281" s="9" t="str">
        <f aca="false">HYPERLINK("https://vtmf.veevavault.com/ui/#doc_info/1568224/1/0", "26866138LYM2034-KOR--Approval (v1.0)")</f>
        <v>26866138LYM2034-KOR--Approval (v1.0)</v>
      </c>
      <c r="G281" s="8" t="s">
        <v>449</v>
      </c>
      <c r="H281" s="9" t="str">
        <f aca="false">HYPERLINK("https://vtmf.veevavault.com/ui/#doc_info/1568224/1/0", "EDMS-GCO-32334513")</f>
        <v>EDMS-GCO-32334513</v>
      </c>
    </row>
    <row r="282" customFormat="false" ht="14.25" hidden="false" customHeight="true" outlineLevel="0" collapsed="false">
      <c r="E282" s="8" t="s">
        <v>132</v>
      </c>
      <c r="F282" s="9" t="str">
        <f aca="false">HYPERLINK("https://vtmf.veevavault.com/ui/#doc_info/1568235/1/0", "26866138LYM2034-KOR--Approval (v1.0)")</f>
        <v>26866138LYM2034-KOR--Approval (v1.0)</v>
      </c>
      <c r="G282" s="8" t="s">
        <v>450</v>
      </c>
      <c r="H282" s="9" t="str">
        <f aca="false">HYPERLINK("https://vtmf.veevavault.com/ui/#doc_info/1568235/1/0", "EDMS-GCO-32334514")</f>
        <v>EDMS-GCO-32334514</v>
      </c>
    </row>
    <row r="283" customFormat="false" ht="14.25" hidden="false" customHeight="true" outlineLevel="0" collapsed="false">
      <c r="E283" s="8" t="s">
        <v>132</v>
      </c>
      <c r="F283" s="9" t="str">
        <f aca="false">HYPERLINK("https://vtmf.veevavault.com/ui/#doc_info/1568245/1/0", "26866138LYM2034-KOR--Approval (v1.0)")</f>
        <v>26866138LYM2034-KOR--Approval (v1.0)</v>
      </c>
      <c r="G283" s="8" t="s">
        <v>451</v>
      </c>
      <c r="H283" s="9" t="str">
        <f aca="false">HYPERLINK("https://vtmf.veevavault.com/ui/#doc_info/1568245/1/0", "EDMS-GCO-32334515")</f>
        <v>EDMS-GCO-32334515</v>
      </c>
    </row>
    <row r="284" customFormat="false" ht="14.25" hidden="false" customHeight="true" outlineLevel="0" collapsed="false">
      <c r="E284" s="8" t="s">
        <v>132</v>
      </c>
      <c r="F284" s="9" t="str">
        <f aca="false">HYPERLINK("https://vtmf.veevavault.com/ui/#doc_info/1568257/1/0", "26866138LYM2034-KOR--Approval (v1.0)")</f>
        <v>26866138LYM2034-KOR--Approval (v1.0)</v>
      </c>
      <c r="G284" s="8" t="s">
        <v>452</v>
      </c>
      <c r="H284" s="9" t="str">
        <f aca="false">HYPERLINK("https://vtmf.veevavault.com/ui/#doc_info/1568257/1/0", "EDMS-GCO-32334516")</f>
        <v>EDMS-GCO-32334516</v>
      </c>
    </row>
    <row r="285" customFormat="false" ht="14.25" hidden="false" customHeight="true" outlineLevel="0" collapsed="false">
      <c r="E285" s="8" t="s">
        <v>132</v>
      </c>
      <c r="F285" s="9" t="str">
        <f aca="false">HYPERLINK("https://vtmf.veevavault.com/ui/#doc_info/1568270/1/0", "26866138LYM2034-KOR--Approval (v1.0)")</f>
        <v>26866138LYM2034-KOR--Approval (v1.0)</v>
      </c>
      <c r="G285" s="8" t="s">
        <v>453</v>
      </c>
      <c r="H285" s="9" t="str">
        <f aca="false">HYPERLINK("https://vtmf.veevavault.com/ui/#doc_info/1568270/1/0", "EDMS-GCO-32334517")</f>
        <v>EDMS-GCO-32334517</v>
      </c>
    </row>
    <row r="286" customFormat="false" ht="14.25" hidden="false" customHeight="true" outlineLevel="0" collapsed="false">
      <c r="E286" s="8" t="s">
        <v>132</v>
      </c>
      <c r="F286" s="9" t="str">
        <f aca="false">HYPERLINK("https://vtmf.veevavault.com/ui/#doc_info/1568277/1/0", "26866138LYM2034-KOR--Approval (v1.0)")</f>
        <v>26866138LYM2034-KOR--Approval (v1.0)</v>
      </c>
      <c r="G286" s="8" t="s">
        <v>454</v>
      </c>
      <c r="H286" s="9" t="str">
        <f aca="false">HYPERLINK("https://vtmf.veevavault.com/ui/#doc_info/1568277/1/0", "EDMS-GCO-32334518")</f>
        <v>EDMS-GCO-32334518</v>
      </c>
    </row>
    <row r="287" customFormat="false" ht="14.25" hidden="false" customHeight="true" outlineLevel="0" collapsed="false">
      <c r="E287" s="8" t="s">
        <v>132</v>
      </c>
      <c r="F287" s="9" t="str">
        <f aca="false">HYPERLINK("https://vtmf.veevavault.com/ui/#doc_info/1568351/1/0", "26866138LYM2034-KOR--Approval (v1.0)")</f>
        <v>26866138LYM2034-KOR--Approval (v1.0)</v>
      </c>
      <c r="G287" s="8" t="s">
        <v>455</v>
      </c>
      <c r="H287" s="9" t="str">
        <f aca="false">HYPERLINK("https://vtmf.veevavault.com/ui/#doc_info/1568351/1/0", "EDMS-GCO-32349981")</f>
        <v>EDMS-GCO-32349981</v>
      </c>
    </row>
    <row r="288" customFormat="false" ht="14.25" hidden="false" customHeight="true" outlineLevel="0" collapsed="false">
      <c r="E288" s="8" t="s">
        <v>132</v>
      </c>
      <c r="F288" s="9" t="str">
        <f aca="false">HYPERLINK("https://vtmf.veevavault.com/ui/#doc_info/1570831/1/0", "26866138LYM2034-KOR--Approval (v1.0)")</f>
        <v>26866138LYM2034-KOR--Approval (v1.0)</v>
      </c>
      <c r="G288" s="8" t="s">
        <v>456</v>
      </c>
      <c r="H288" s="9" t="str">
        <f aca="false">HYPERLINK("https://vtmf.veevavault.com/ui/#doc_info/1570831/1/0", "EDMS-GCO-33157745")</f>
        <v>EDMS-GCO-33157745</v>
      </c>
    </row>
    <row r="289" customFormat="false" ht="14.25" hidden="false" customHeight="true" outlineLevel="0" collapsed="false">
      <c r="E289" s="8" t="s">
        <v>132</v>
      </c>
      <c r="F289" s="9" t="str">
        <f aca="false">HYPERLINK("https://vtmf.veevavault.com/ui/#doc_info/1570851/1/0", "26866138LYM2034-KOR--Approval (v1.0)")</f>
        <v>26866138LYM2034-KOR--Approval (v1.0)</v>
      </c>
      <c r="G289" s="8" t="s">
        <v>457</v>
      </c>
      <c r="H289" s="9" t="str">
        <f aca="false">HYPERLINK("https://vtmf.veevavault.com/ui/#doc_info/1570851/1/0", "EDMS-GCO-33157752")</f>
        <v>EDMS-GCO-33157752</v>
      </c>
    </row>
    <row r="290" customFormat="false" ht="14.25" hidden="false" customHeight="true" outlineLevel="0" collapsed="false">
      <c r="E290" s="8" t="s">
        <v>132</v>
      </c>
      <c r="F290" s="9" t="str">
        <f aca="false">HYPERLINK("https://vtmf.veevavault.com/ui/#doc_info/1570866/1/0", "26866138LYM2034-KOR--Approval (v1.0)")</f>
        <v>26866138LYM2034-KOR--Approval (v1.0)</v>
      </c>
      <c r="G290" s="8" t="s">
        <v>458</v>
      </c>
      <c r="H290" s="9" t="str">
        <f aca="false">HYPERLINK("https://vtmf.veevavault.com/ui/#doc_info/1570866/1/0", "EDMS-GCO-33157753")</f>
        <v>EDMS-GCO-33157753</v>
      </c>
    </row>
    <row r="291" customFormat="false" ht="14.25" hidden="false" customHeight="true" outlineLevel="0" collapsed="false">
      <c r="E291" s="8" t="s">
        <v>132</v>
      </c>
      <c r="F291" s="9" t="str">
        <f aca="false">HYPERLINK("https://vtmf.veevavault.com/ui/#doc_info/1618525/1/0", "26866138LYM2034-KOR--Approval (v1.0)")</f>
        <v>26866138LYM2034-KOR--Approval (v1.0)</v>
      </c>
      <c r="G291" s="8" t="s">
        <v>459</v>
      </c>
      <c r="H291" s="9" t="str">
        <f aca="false">HYPERLINK("https://vtmf.veevavault.com/ui/#doc_info/1618525/1/0", "EDMS-GCO-44557265")</f>
        <v>EDMS-GCO-44557265</v>
      </c>
    </row>
    <row r="292" customFormat="false" ht="14.25" hidden="false" customHeight="true" outlineLevel="0" collapsed="false">
      <c r="E292" s="8" t="s">
        <v>132</v>
      </c>
      <c r="F292" s="9" t="str">
        <f aca="false">HYPERLINK("https://vtmf.veevavault.com/ui/#doc_info/1618535/1/0", "26866138LYM2034-KOR--Approval (v1.0)")</f>
        <v>26866138LYM2034-KOR--Approval (v1.0)</v>
      </c>
      <c r="G292" s="8" t="s">
        <v>460</v>
      </c>
      <c r="H292" s="9" t="str">
        <f aca="false">HYPERLINK("https://vtmf.veevavault.com/ui/#doc_info/1618535/1/0", "EDMS-GCO-44557266")</f>
        <v>EDMS-GCO-44557266</v>
      </c>
    </row>
    <row r="293" customFormat="false" ht="14.25" hidden="false" customHeight="true" outlineLevel="0" collapsed="false">
      <c r="E293" s="8" t="s">
        <v>132</v>
      </c>
      <c r="F293" s="9" t="str">
        <f aca="false">HYPERLINK("https://vtmf.veevavault.com/ui/#doc_info/1618542/1/0", "26866138LYM2034-KOR--Approval (v1.0)")</f>
        <v>26866138LYM2034-KOR--Approval (v1.0)</v>
      </c>
      <c r="G293" s="8" t="s">
        <v>461</v>
      </c>
      <c r="H293" s="9" t="str">
        <f aca="false">HYPERLINK("https://vtmf.veevavault.com/ui/#doc_info/1618542/1/0", "EDMS-GCO-44557267")</f>
        <v>EDMS-GCO-44557267</v>
      </c>
    </row>
    <row r="294" customFormat="false" ht="14.25" hidden="false" customHeight="true" outlineLevel="0" collapsed="false">
      <c r="E294" s="8" t="s">
        <v>132</v>
      </c>
      <c r="F294" s="9" t="str">
        <f aca="false">HYPERLINK("https://vtmf.veevavault.com/ui/#doc_info/1618551/1/0", "26866138LYM2034-KOR--Approval (v1.0)")</f>
        <v>26866138LYM2034-KOR--Approval (v1.0)</v>
      </c>
      <c r="G294" s="8" t="s">
        <v>462</v>
      </c>
      <c r="H294" s="9" t="str">
        <f aca="false">HYPERLINK("https://vtmf.veevavault.com/ui/#doc_info/1618551/1/0", "EDMS-GCO-44557268")</f>
        <v>EDMS-GCO-44557268</v>
      </c>
    </row>
    <row r="295" customFormat="false" ht="14.25" hidden="false" customHeight="true" outlineLevel="0" collapsed="false">
      <c r="E295" s="8" t="s">
        <v>132</v>
      </c>
      <c r="F295" s="9" t="str">
        <f aca="false">HYPERLINK("https://vtmf.veevavault.com/ui/#doc_info/1618559/1/0", "26866138LYM2034-KOR--Approval (v1.0)")</f>
        <v>26866138LYM2034-KOR--Approval (v1.0)</v>
      </c>
      <c r="G295" s="8" t="s">
        <v>463</v>
      </c>
      <c r="H295" s="9" t="str">
        <f aca="false">HYPERLINK("https://vtmf.veevavault.com/ui/#doc_info/1618559/1/0", "EDMS-GCO-44557269")</f>
        <v>EDMS-GCO-44557269</v>
      </c>
    </row>
    <row r="296" customFormat="false" ht="14.25" hidden="false" customHeight="true" outlineLevel="0" collapsed="false">
      <c r="E296" s="8" t="s">
        <v>132</v>
      </c>
      <c r="F296" s="9" t="str">
        <f aca="false">HYPERLINK("https://vtmf.veevavault.com/ui/#doc_info/1618564/1/0", "26866138LYM2034-KOR--Approval (v1.0)")</f>
        <v>26866138LYM2034-KOR--Approval (v1.0)</v>
      </c>
      <c r="G296" s="8" t="s">
        <v>464</v>
      </c>
      <c r="H296" s="9" t="str">
        <f aca="false">HYPERLINK("https://vtmf.veevavault.com/ui/#doc_info/1618564/1/0", "EDMS-GCO-44557270")</f>
        <v>EDMS-GCO-44557270</v>
      </c>
    </row>
    <row r="297" customFormat="false" ht="14.25" hidden="false" customHeight="true" outlineLevel="0" collapsed="false">
      <c r="E297" s="8" t="s">
        <v>132</v>
      </c>
      <c r="F297" s="9" t="str">
        <f aca="false">HYPERLINK("https://vtmf.veevavault.com/ui/#doc_info/1618573/1/0", "26866138LYM2034-KOR--Approval (v1.0)")</f>
        <v>26866138LYM2034-KOR--Approval (v1.0)</v>
      </c>
      <c r="G297" s="8" t="s">
        <v>465</v>
      </c>
      <c r="H297" s="9" t="str">
        <f aca="false">HYPERLINK("https://vtmf.veevavault.com/ui/#doc_info/1618573/1/0", "EDMS-GCO-44557271")</f>
        <v>EDMS-GCO-44557271</v>
      </c>
    </row>
    <row r="298" customFormat="false" ht="14.25" hidden="false" customHeight="true" outlineLevel="0" collapsed="false">
      <c r="E298" s="8" t="s">
        <v>132</v>
      </c>
      <c r="F298" s="9" t="str">
        <f aca="false">HYPERLINK("https://vtmf.veevavault.com/ui/#doc_info/1618580/1/0", "26866138LYM2034-KOR--Approval (v1.0)")</f>
        <v>26866138LYM2034-KOR--Approval (v1.0)</v>
      </c>
      <c r="G298" s="8" t="s">
        <v>466</v>
      </c>
      <c r="H298" s="9" t="str">
        <f aca="false">HYPERLINK("https://vtmf.veevavault.com/ui/#doc_info/1618580/1/0", "EDMS-GCO-44557298")</f>
        <v>EDMS-GCO-44557298</v>
      </c>
    </row>
    <row r="299" customFormat="false" ht="14.25" hidden="false" customHeight="true" outlineLevel="0" collapsed="false">
      <c r="E299" s="8" t="s">
        <v>132</v>
      </c>
      <c r="F299" s="9" t="str">
        <f aca="false">HYPERLINK("https://vtmf.veevavault.com/ui/#doc_info/1618589/1/0", "26866138LYM2034-KOR--Approval (v1.0)")</f>
        <v>26866138LYM2034-KOR--Approval (v1.0)</v>
      </c>
      <c r="G299" s="8" t="s">
        <v>467</v>
      </c>
      <c r="H299" s="9" t="str">
        <f aca="false">HYPERLINK("https://vtmf.veevavault.com/ui/#doc_info/1618589/1/0", "EDMS-GCO-44557299")</f>
        <v>EDMS-GCO-44557299</v>
      </c>
    </row>
    <row r="300" customFormat="false" ht="14.25" hidden="false" customHeight="true" outlineLevel="0" collapsed="false">
      <c r="E300" s="8" t="s">
        <v>132</v>
      </c>
      <c r="F300" s="9" t="str">
        <f aca="false">HYPERLINK("https://vtmf.veevavault.com/ui/#doc_info/1618597/1/0", "26866138LYM2034-KOR--Approval (v1.0)")</f>
        <v>26866138LYM2034-KOR--Approval (v1.0)</v>
      </c>
      <c r="G300" s="8" t="s">
        <v>468</v>
      </c>
      <c r="H300" s="9" t="str">
        <f aca="false">HYPERLINK("https://vtmf.veevavault.com/ui/#doc_info/1618597/1/0", "EDMS-GCO-44557300")</f>
        <v>EDMS-GCO-44557300</v>
      </c>
    </row>
    <row r="301" customFormat="false" ht="14.25" hidden="false" customHeight="true" outlineLevel="0" collapsed="false">
      <c r="E301" s="8" t="s">
        <v>132</v>
      </c>
      <c r="F301" s="9" t="str">
        <f aca="false">HYPERLINK("https://vtmf.veevavault.com/ui/#doc_info/1618605/1/0", "26866138LYM2034-KOR--Approval (v1.0)")</f>
        <v>26866138LYM2034-KOR--Approval (v1.0)</v>
      </c>
      <c r="G301" s="8" t="s">
        <v>469</v>
      </c>
      <c r="H301" s="9" t="str">
        <f aca="false">HYPERLINK("https://vtmf.veevavault.com/ui/#doc_info/1618605/1/0", "EDMS-GCO-44557301")</f>
        <v>EDMS-GCO-44557301</v>
      </c>
    </row>
    <row r="302" customFormat="false" ht="14.25" hidden="false" customHeight="true" outlineLevel="0" collapsed="false">
      <c r="E302" s="8" t="s">
        <v>132</v>
      </c>
      <c r="F302" s="9" t="str">
        <f aca="false">HYPERLINK("https://vtmf.veevavault.com/ui/#doc_info/1618613/1/0", "26866138LYM2034-KOR--Approval (v1.0)")</f>
        <v>26866138LYM2034-KOR--Approval (v1.0)</v>
      </c>
      <c r="G302" s="8" t="s">
        <v>470</v>
      </c>
      <c r="H302" s="9" t="str">
        <f aca="false">HYPERLINK("https://vtmf.veevavault.com/ui/#doc_info/1618613/1/0", "EDMS-GCO-44557302")</f>
        <v>EDMS-GCO-44557302</v>
      </c>
    </row>
    <row r="303" customFormat="false" ht="14.25" hidden="false" customHeight="true" outlineLevel="0" collapsed="false">
      <c r="E303" s="8" t="s">
        <v>132</v>
      </c>
      <c r="F303" s="9" t="str">
        <f aca="false">HYPERLINK("https://vtmf.veevavault.com/ui/#doc_info/1618620/1/0", "26866138LYM2034-KOR--Approval (v1.0)")</f>
        <v>26866138LYM2034-KOR--Approval (v1.0)</v>
      </c>
      <c r="G303" s="8" t="s">
        <v>471</v>
      </c>
      <c r="H303" s="9" t="str">
        <f aca="false">HYPERLINK("https://vtmf.veevavault.com/ui/#doc_info/1618620/1/0", "EDMS-GCO-44557303")</f>
        <v>EDMS-GCO-44557303</v>
      </c>
    </row>
    <row r="304" customFormat="false" ht="14.25" hidden="false" customHeight="true" outlineLevel="0" collapsed="false">
      <c r="E304" s="8" t="s">
        <v>132</v>
      </c>
      <c r="F304" s="9" t="str">
        <f aca="false">HYPERLINK("https://vtmf.veevavault.com/ui/#doc_info/1618631/1/0", "26866138LYM2034-KOR--Approval (v1.0)")</f>
        <v>26866138LYM2034-KOR--Approval (v1.0)</v>
      </c>
      <c r="G304" s="8" t="s">
        <v>472</v>
      </c>
      <c r="H304" s="9" t="str">
        <f aca="false">HYPERLINK("https://vtmf.veevavault.com/ui/#doc_info/1618631/1/0", "EDMS-GCO-44557304")</f>
        <v>EDMS-GCO-44557304</v>
      </c>
    </row>
    <row r="305" customFormat="false" ht="14.25" hidden="false" customHeight="true" outlineLevel="0" collapsed="false">
      <c r="E305" s="8" t="s">
        <v>132</v>
      </c>
      <c r="F305" s="9" t="str">
        <f aca="false">HYPERLINK("https://vtmf.veevavault.com/ui/#doc_info/1618641/1/0", "26866138LYM2034-KOR--Approval (v1.0)")</f>
        <v>26866138LYM2034-KOR--Approval (v1.0)</v>
      </c>
      <c r="G305" s="8" t="s">
        <v>473</v>
      </c>
      <c r="H305" s="9" t="str">
        <f aca="false">HYPERLINK("https://vtmf.veevavault.com/ui/#doc_info/1618641/1/0", "EDMS-GCO-44557305")</f>
        <v>EDMS-GCO-44557305</v>
      </c>
    </row>
    <row r="306" customFormat="false" ht="14.25" hidden="false" customHeight="true" outlineLevel="0" collapsed="false">
      <c r="E306" s="8" t="s">
        <v>132</v>
      </c>
      <c r="F306" s="9" t="str">
        <f aca="false">HYPERLINK("https://vtmf.veevavault.com/ui/#doc_info/1618651/1/0", "26866138LYM2034-KOR--Approval (v1.0)")</f>
        <v>26866138LYM2034-KOR--Approval (v1.0)</v>
      </c>
      <c r="G306" s="8" t="s">
        <v>474</v>
      </c>
      <c r="H306" s="9" t="str">
        <f aca="false">HYPERLINK("https://vtmf.veevavault.com/ui/#doc_info/1618651/1/0", "EDMS-GCO-44557306")</f>
        <v>EDMS-GCO-44557306</v>
      </c>
    </row>
    <row r="307" customFormat="false" ht="14.25" hidden="false" customHeight="true" outlineLevel="0" collapsed="false">
      <c r="E307" s="8" t="s">
        <v>132</v>
      </c>
      <c r="F307" s="9" t="str">
        <f aca="false">HYPERLINK("https://vtmf.veevavault.com/ui/#doc_info/1618663/1/0", "26866138LYM2034-KOR--Approval (v1.0)")</f>
        <v>26866138LYM2034-KOR--Approval (v1.0)</v>
      </c>
      <c r="G307" s="8" t="s">
        <v>475</v>
      </c>
      <c r="H307" s="9" t="str">
        <f aca="false">HYPERLINK("https://vtmf.veevavault.com/ui/#doc_info/1618663/1/0", "EDMS-GCO-44557307")</f>
        <v>EDMS-GCO-44557307</v>
      </c>
    </row>
    <row r="308" customFormat="false" ht="14.25" hidden="false" customHeight="true" outlineLevel="0" collapsed="false">
      <c r="E308" s="8" t="s">
        <v>132</v>
      </c>
      <c r="F308" s="9" t="str">
        <f aca="false">HYPERLINK("https://vtmf.veevavault.com/ui/#doc_info/1618673/1/0", "26866138LYM2034-KOR--Approval (v1.0)")</f>
        <v>26866138LYM2034-KOR--Approval (v1.0)</v>
      </c>
      <c r="G308" s="8" t="s">
        <v>476</v>
      </c>
      <c r="H308" s="9" t="str">
        <f aca="false">HYPERLINK("https://vtmf.veevavault.com/ui/#doc_info/1618673/1/0", "EDMS-GCO-44557331")</f>
        <v>EDMS-GCO-44557331</v>
      </c>
    </row>
    <row r="309" customFormat="false" ht="14.25" hidden="false" customHeight="true" outlineLevel="0" collapsed="false">
      <c r="E309" s="8" t="s">
        <v>132</v>
      </c>
      <c r="F309" s="9" t="str">
        <f aca="false">HYPERLINK("https://vtmf.veevavault.com/ui/#doc_info/1618681/1/0", "26866138LYM2034-KOR--Approval (v1.0)")</f>
        <v>26866138LYM2034-KOR--Approval (v1.0)</v>
      </c>
      <c r="G309" s="8" t="s">
        <v>477</v>
      </c>
      <c r="H309" s="9" t="str">
        <f aca="false">HYPERLINK("https://vtmf.veevavault.com/ui/#doc_info/1618681/1/0", "EDMS-GCO-44557332")</f>
        <v>EDMS-GCO-44557332</v>
      </c>
    </row>
    <row r="310" customFormat="false" ht="14.25" hidden="false" customHeight="true" outlineLevel="0" collapsed="false">
      <c r="E310" s="8" t="s">
        <v>132</v>
      </c>
      <c r="F310" s="9" t="str">
        <f aca="false">HYPERLINK("https://vtmf.veevavault.com/ui/#doc_info/1618688/1/0", "26866138LYM2034-KOR--Approval (v1.0)")</f>
        <v>26866138LYM2034-KOR--Approval (v1.0)</v>
      </c>
      <c r="G310" s="8" t="s">
        <v>478</v>
      </c>
      <c r="H310" s="9" t="str">
        <f aca="false">HYPERLINK("https://vtmf.veevavault.com/ui/#doc_info/1618688/1/0", "EDMS-GCO-44557333")</f>
        <v>EDMS-GCO-44557333</v>
      </c>
    </row>
    <row r="311" customFormat="false" ht="14.25" hidden="false" customHeight="true" outlineLevel="0" collapsed="false">
      <c r="E311" s="8" t="s">
        <v>132</v>
      </c>
      <c r="F311" s="9" t="str">
        <f aca="false">HYPERLINK("https://vtmf.veevavault.com/ui/#doc_info/2303132/1/0", "26866138LYM3002-KOR--Approval (v1.0)")</f>
        <v>26866138LYM3002-KOR--Approval (v1.0)</v>
      </c>
      <c r="G311" s="8" t="s">
        <v>479</v>
      </c>
      <c r="H311" s="9" t="str">
        <f aca="false">HYPERLINK("https://vtmf.veevavault.com/ui/#doc_info/2303132/1/0", "EDMS-GCO-7171306")</f>
        <v>EDMS-GCO-7171306</v>
      </c>
    </row>
    <row r="312" customFormat="false" ht="14.25" hidden="false" customHeight="true" outlineLevel="0" collapsed="false">
      <c r="E312" s="8" t="s">
        <v>132</v>
      </c>
      <c r="F312" s="9" t="str">
        <f aca="false">HYPERLINK("https://vtmf.veevavault.com/ui/#doc_info/2312744/1/0", "26866138LYM3002-KOR--Approval (v1.0)")</f>
        <v>26866138LYM3002-KOR--Approval (v1.0)</v>
      </c>
      <c r="G312" s="8" t="s">
        <v>480</v>
      </c>
      <c r="H312" s="9" t="str">
        <f aca="false">HYPERLINK("https://vtmf.veevavault.com/ui/#doc_info/2312744/1/0", "EDMS-GCO-9336076")</f>
        <v>EDMS-GCO-9336076</v>
      </c>
    </row>
    <row r="313" customFormat="false" ht="14.25" hidden="false" customHeight="true" outlineLevel="0" collapsed="false">
      <c r="E313" s="8" t="s">
        <v>132</v>
      </c>
      <c r="F313" s="9" t="str">
        <f aca="false">HYPERLINK("https://vtmf.veevavault.com/ui/#doc_info/2342969/1/0", "26866138LYM3002-KOR--Approval (v1.0)")</f>
        <v>26866138LYM3002-KOR--Approval (v1.0)</v>
      </c>
      <c r="G313" s="8" t="s">
        <v>481</v>
      </c>
      <c r="H313" s="9" t="str">
        <f aca="false">HYPERLINK("https://vtmf.veevavault.com/ui/#doc_info/2342969/1/0", "EDMS-GCO-45126505")</f>
        <v>EDMS-GCO-45126505</v>
      </c>
    </row>
    <row r="314" customFormat="false" ht="14.25" hidden="false" customHeight="true" outlineLevel="0" collapsed="false">
      <c r="E314" s="8" t="s">
        <v>132</v>
      </c>
      <c r="F314" s="9" t="str">
        <f aca="false">HYPERLINK("https://vtmf.veevavault.com/ui/#doc_info/2342976/1/0", "26866138LYM3002-KOR--Approval (v1.0)")</f>
        <v>26866138LYM3002-KOR--Approval (v1.0)</v>
      </c>
      <c r="G314" s="8" t="s">
        <v>482</v>
      </c>
      <c r="H314" s="9" t="str">
        <f aca="false">HYPERLINK("https://vtmf.veevavault.com/ui/#doc_info/2342976/1/0", "EDMS-GCO-45126506")</f>
        <v>EDMS-GCO-45126506</v>
      </c>
    </row>
    <row r="315" customFormat="false" ht="14.25" hidden="false" customHeight="true" outlineLevel="0" collapsed="false">
      <c r="E315" s="8" t="s">
        <v>132</v>
      </c>
      <c r="F315" s="9" t="str">
        <f aca="false">HYPERLINK("https://vtmf.veevavault.com/ui/#doc_info/2342986/1/0", "26866138LYM3002-KOR--Approval (v1.0)")</f>
        <v>26866138LYM3002-KOR--Approval (v1.0)</v>
      </c>
      <c r="G315" s="8" t="s">
        <v>483</v>
      </c>
      <c r="H315" s="9" t="str">
        <f aca="false">HYPERLINK("https://vtmf.veevavault.com/ui/#doc_info/2342986/1/0", "EDMS-GCO-45126507")</f>
        <v>EDMS-GCO-45126507</v>
      </c>
    </row>
    <row r="316" customFormat="false" ht="14.25" hidden="false" customHeight="true" outlineLevel="0" collapsed="false">
      <c r="E316" s="8" t="s">
        <v>132</v>
      </c>
      <c r="F316" s="9" t="str">
        <f aca="false">HYPERLINK("https://vtmf.veevavault.com/ui/#doc_info/2342996/1/0", "26866138LYM3002-KOR--Approval (v1.0)")</f>
        <v>26866138LYM3002-KOR--Approval (v1.0)</v>
      </c>
      <c r="G316" s="8" t="s">
        <v>484</v>
      </c>
      <c r="H316" s="9" t="str">
        <f aca="false">HYPERLINK("https://vtmf.veevavault.com/ui/#doc_info/2342996/1/0", "EDMS-GCO-45126508")</f>
        <v>EDMS-GCO-45126508</v>
      </c>
    </row>
    <row r="317" customFormat="false" ht="14.25" hidden="false" customHeight="true" outlineLevel="0" collapsed="false">
      <c r="E317" s="8" t="s">
        <v>132</v>
      </c>
      <c r="F317" s="9" t="str">
        <f aca="false">HYPERLINK("https://vtmf.veevavault.com/ui/#doc_info/2343006/1/0", "26866138LYM3002-KOR--Approval (v1.0)")</f>
        <v>26866138LYM3002-KOR--Approval (v1.0)</v>
      </c>
      <c r="G317" s="8" t="s">
        <v>485</v>
      </c>
      <c r="H317" s="9" t="str">
        <f aca="false">HYPERLINK("https://vtmf.veevavault.com/ui/#doc_info/2343006/1/0", "EDMS-GCO-45126509")</f>
        <v>EDMS-GCO-45126509</v>
      </c>
    </row>
    <row r="318" customFormat="false" ht="14.25" hidden="false" customHeight="true" outlineLevel="0" collapsed="false">
      <c r="E318" s="8" t="s">
        <v>132</v>
      </c>
      <c r="F318" s="9" t="str">
        <f aca="false">HYPERLINK("https://vtmf.veevavault.com/ui/#doc_info/2343015/1/0", "26866138LYM3002-KOR--Approval (v1.0)")</f>
        <v>26866138LYM3002-KOR--Approval (v1.0)</v>
      </c>
      <c r="G318" s="8" t="s">
        <v>486</v>
      </c>
      <c r="H318" s="9" t="str">
        <f aca="false">HYPERLINK("https://vtmf.veevavault.com/ui/#doc_info/2343015/1/0", "EDMS-GCO-45126510")</f>
        <v>EDMS-GCO-45126510</v>
      </c>
    </row>
    <row r="319" customFormat="false" ht="14.25" hidden="false" customHeight="true" outlineLevel="0" collapsed="false">
      <c r="E319" s="8" t="s">
        <v>132</v>
      </c>
      <c r="F319" s="9" t="str">
        <f aca="false">HYPERLINK("https://vtmf.veevavault.com/ui/#doc_info/2343025/1/0", "26866138LYM3002-KOR--Approval (v1.0)")</f>
        <v>26866138LYM3002-KOR--Approval (v1.0)</v>
      </c>
      <c r="G319" s="8" t="s">
        <v>487</v>
      </c>
      <c r="H319" s="9" t="str">
        <f aca="false">HYPERLINK("https://vtmf.veevavault.com/ui/#doc_info/2343025/1/0", "EDMS-GCO-45126511")</f>
        <v>EDMS-GCO-45126511</v>
      </c>
    </row>
    <row r="320" customFormat="false" ht="14.25" hidden="false" customHeight="true" outlineLevel="0" collapsed="false">
      <c r="E320" s="8" t="s">
        <v>132</v>
      </c>
      <c r="F320" s="9" t="str">
        <f aca="false">HYPERLINK("https://vtmf.veevavault.com/ui/#doc_info/2343035/1/0", "26866138LYM3002-KOR--Approval (v1.0)")</f>
        <v>26866138LYM3002-KOR--Approval (v1.0)</v>
      </c>
      <c r="G320" s="8" t="s">
        <v>488</v>
      </c>
      <c r="H320" s="9" t="str">
        <f aca="false">HYPERLINK("https://vtmf.veevavault.com/ui/#doc_info/2343035/1/0", "EDMS-GCO-45126512")</f>
        <v>EDMS-GCO-45126512</v>
      </c>
    </row>
    <row r="321" customFormat="false" ht="14.25" hidden="false" customHeight="true" outlineLevel="0" collapsed="false">
      <c r="E321" s="8" t="s">
        <v>132</v>
      </c>
      <c r="F321" s="9" t="str">
        <f aca="false">HYPERLINK("https://vtmf.veevavault.com/ui/#doc_info/2343045/1/0", "26866138LYM3002-KOR--Approval (v1.0)")</f>
        <v>26866138LYM3002-KOR--Approval (v1.0)</v>
      </c>
      <c r="G321" s="8" t="s">
        <v>489</v>
      </c>
      <c r="H321" s="9" t="str">
        <f aca="false">HYPERLINK("https://vtmf.veevavault.com/ui/#doc_info/2343045/1/0", "EDMS-GCO-45126513")</f>
        <v>EDMS-GCO-45126513</v>
      </c>
    </row>
    <row r="322" customFormat="false" ht="14.25" hidden="false" customHeight="true" outlineLevel="0" collapsed="false">
      <c r="E322" s="8" t="s">
        <v>132</v>
      </c>
      <c r="F322" s="9" t="str">
        <f aca="false">HYPERLINK("https://vtmf.veevavault.com/ui/#doc_info/2343056/1/0", "26866138LYM3002-KOR--Approval (v1.0)")</f>
        <v>26866138LYM3002-KOR--Approval (v1.0)</v>
      </c>
      <c r="G322" s="8" t="s">
        <v>490</v>
      </c>
      <c r="H322" s="9" t="str">
        <f aca="false">HYPERLINK("https://vtmf.veevavault.com/ui/#doc_info/2343056/1/0", "EDMS-GCO-45126524")</f>
        <v>EDMS-GCO-45126524</v>
      </c>
    </row>
    <row r="323" customFormat="false" ht="14.25" hidden="false" customHeight="true" outlineLevel="0" collapsed="false">
      <c r="E323" s="8" t="s">
        <v>132</v>
      </c>
      <c r="F323" s="9" t="str">
        <f aca="false">HYPERLINK("https://vtmf.veevavault.com/ui/#doc_info/2343067/1/0", "26866138LYM3002-KOR--Approval (v1.0)")</f>
        <v>26866138LYM3002-KOR--Approval (v1.0)</v>
      </c>
      <c r="G323" s="8" t="s">
        <v>491</v>
      </c>
      <c r="H323" s="9" t="str">
        <f aca="false">HYPERLINK("https://vtmf.veevavault.com/ui/#doc_info/2343067/1/0", "EDMS-GCO-45126525")</f>
        <v>EDMS-GCO-45126525</v>
      </c>
    </row>
    <row r="324" customFormat="false" ht="14.25" hidden="false" customHeight="true" outlineLevel="0" collapsed="false">
      <c r="E324" s="8" t="s">
        <v>132</v>
      </c>
      <c r="F324" s="9" t="str">
        <f aca="false">HYPERLINK("https://vtmf.veevavault.com/ui/#doc_info/2343077/1/0", "26866138LYM3002-KOR--Approval (v1.0)")</f>
        <v>26866138LYM3002-KOR--Approval (v1.0)</v>
      </c>
      <c r="G324" s="8" t="s">
        <v>492</v>
      </c>
      <c r="H324" s="9" t="str">
        <f aca="false">HYPERLINK("https://vtmf.veevavault.com/ui/#doc_info/2343077/1/0", "EDMS-GCO-45126526")</f>
        <v>EDMS-GCO-45126526</v>
      </c>
    </row>
    <row r="325" customFormat="false" ht="14.25" hidden="false" customHeight="true" outlineLevel="0" collapsed="false">
      <c r="E325" s="8" t="s">
        <v>132</v>
      </c>
      <c r="F325" s="9" t="str">
        <f aca="false">HYPERLINK("https://vtmf.veevavault.com/ui/#doc_info/2343087/1/0", "26866138LYM3002-KOR--Approval (v1.0)")</f>
        <v>26866138LYM3002-KOR--Approval (v1.0)</v>
      </c>
      <c r="G325" s="8" t="s">
        <v>493</v>
      </c>
      <c r="H325" s="9" t="str">
        <f aca="false">HYPERLINK("https://vtmf.veevavault.com/ui/#doc_info/2343087/1/0", "EDMS-GCO-45126528")</f>
        <v>EDMS-GCO-45126528</v>
      </c>
    </row>
    <row r="326" customFormat="false" ht="14.25" hidden="false" customHeight="true" outlineLevel="0" collapsed="false">
      <c r="E326" s="8" t="s">
        <v>132</v>
      </c>
      <c r="F326" s="9" t="str">
        <f aca="false">HYPERLINK("https://vtmf.veevavault.com/ui/#doc_info/2343096/1/0", "26866138LYM3002-KOR--Approval (v1.0)")</f>
        <v>26866138LYM3002-KOR--Approval (v1.0)</v>
      </c>
      <c r="G326" s="8" t="s">
        <v>494</v>
      </c>
      <c r="H326" s="9" t="str">
        <f aca="false">HYPERLINK("https://vtmf.veevavault.com/ui/#doc_info/2343096/1/0", "EDMS-GCO-45126530")</f>
        <v>EDMS-GCO-45126530</v>
      </c>
    </row>
    <row r="327" customFormat="false" ht="14.25" hidden="false" customHeight="true" outlineLevel="0" collapsed="false">
      <c r="E327" s="8" t="s">
        <v>132</v>
      </c>
      <c r="F327" s="9" t="str">
        <f aca="false">HYPERLINK("https://vtmf.veevavault.com/ui/#doc_info/2343105/1/0", "26866138LYM3002-KOR--Approval (v1.0)")</f>
        <v>26866138LYM3002-KOR--Approval (v1.0)</v>
      </c>
      <c r="G327" s="8" t="s">
        <v>495</v>
      </c>
      <c r="H327" s="9" t="str">
        <f aca="false">HYPERLINK("https://vtmf.veevavault.com/ui/#doc_info/2343105/1/0", "EDMS-GCO-45126532")</f>
        <v>EDMS-GCO-45126532</v>
      </c>
    </row>
    <row r="328" customFormat="false" ht="14.25" hidden="false" customHeight="true" outlineLevel="0" collapsed="false">
      <c r="E328" s="8" t="s">
        <v>132</v>
      </c>
      <c r="F328" s="9" t="str">
        <f aca="false">HYPERLINK("https://vtmf.veevavault.com/ui/#doc_info/2343115/1/0", "26866138LYM3002-KOR--Approval (v1.0)")</f>
        <v>26866138LYM3002-KOR--Approval (v1.0)</v>
      </c>
      <c r="G328" s="8" t="s">
        <v>496</v>
      </c>
      <c r="H328" s="9" t="str">
        <f aca="false">HYPERLINK("https://vtmf.veevavault.com/ui/#doc_info/2343115/1/0", "EDMS-GCO-45126534")</f>
        <v>EDMS-GCO-45126534</v>
      </c>
    </row>
    <row r="329" customFormat="false" ht="14.25" hidden="false" customHeight="true" outlineLevel="0" collapsed="false">
      <c r="E329" s="8" t="s">
        <v>132</v>
      </c>
      <c r="F329" s="9" t="str">
        <f aca="false">HYPERLINK("https://vtmf.veevavault.com/ui/#doc_info/2343125/1/0", "26866138LYM3002-KOR--Approval (v1.0)")</f>
        <v>26866138LYM3002-KOR--Approval (v1.0)</v>
      </c>
      <c r="G329" s="8" t="s">
        <v>497</v>
      </c>
      <c r="H329" s="9" t="str">
        <f aca="false">HYPERLINK("https://vtmf.veevavault.com/ui/#doc_info/2343125/1/0", "EDMS-GCO-45126536")</f>
        <v>EDMS-GCO-45126536</v>
      </c>
    </row>
    <row r="330" customFormat="false" ht="14.25" hidden="false" customHeight="true" outlineLevel="0" collapsed="false">
      <c r="E330" s="8" t="s">
        <v>132</v>
      </c>
      <c r="F330" s="9" t="str">
        <f aca="false">HYPERLINK("https://vtmf.veevavault.com/ui/#doc_info/2343133/1/0", "26866138LYM3002-KOR--Approval (v1.0)")</f>
        <v>26866138LYM3002-KOR--Approval (v1.0)</v>
      </c>
      <c r="G330" s="8" t="s">
        <v>498</v>
      </c>
      <c r="H330" s="9" t="str">
        <f aca="false">HYPERLINK("https://vtmf.veevavault.com/ui/#doc_info/2343133/1/0", "EDMS-GCO-45126538")</f>
        <v>EDMS-GCO-45126538</v>
      </c>
    </row>
    <row r="331" customFormat="false" ht="14.25" hidden="false" customHeight="true" outlineLevel="0" collapsed="false">
      <c r="E331" s="8" t="s">
        <v>132</v>
      </c>
      <c r="F331" s="9" t="str">
        <f aca="false">HYPERLINK("https://vtmf.veevavault.com/ui/#doc_info/2343141/1/0", "26866138LYM3002-KOR--Approval (v1.0)")</f>
        <v>26866138LYM3002-KOR--Approval (v1.0)</v>
      </c>
      <c r="G331" s="8" t="s">
        <v>499</v>
      </c>
      <c r="H331" s="9" t="str">
        <f aca="false">HYPERLINK("https://vtmf.veevavault.com/ui/#doc_info/2343141/1/0", "EDMS-GCO-45126541")</f>
        <v>EDMS-GCO-45126541</v>
      </c>
    </row>
    <row r="332" customFormat="false" ht="14.25" hidden="false" customHeight="true" outlineLevel="0" collapsed="false">
      <c r="E332" s="8" t="s">
        <v>132</v>
      </c>
      <c r="F332" s="9" t="str">
        <f aca="false">HYPERLINK("https://vtmf.veevavault.com/ui/#doc_info/2343152/1/0", "26866138LYM3002-KOR--Approval (v1.0)")</f>
        <v>26866138LYM3002-KOR--Approval (v1.0)</v>
      </c>
      <c r="G332" s="8" t="s">
        <v>500</v>
      </c>
      <c r="H332" s="9" t="str">
        <f aca="false">HYPERLINK("https://vtmf.veevavault.com/ui/#doc_info/2343152/1/0", "EDMS-GCO-45126543")</f>
        <v>EDMS-GCO-45126543</v>
      </c>
    </row>
    <row r="333" customFormat="false" ht="14.25" hidden="false" customHeight="true" outlineLevel="0" collapsed="false">
      <c r="E333" s="8" t="s">
        <v>132</v>
      </c>
      <c r="F333" s="9" t="str">
        <f aca="false">HYPERLINK("https://vtmf.veevavault.com/ui/#doc_info/2343163/1/0", "26866138LYM3002-KOR--Approval (v1.0)")</f>
        <v>26866138LYM3002-KOR--Approval (v1.0)</v>
      </c>
      <c r="G333" s="8" t="s">
        <v>501</v>
      </c>
      <c r="H333" s="9" t="str">
        <f aca="false">HYPERLINK("https://vtmf.veevavault.com/ui/#doc_info/2343163/1/0", "EDMS-GCO-45126555")</f>
        <v>EDMS-GCO-45126555</v>
      </c>
    </row>
    <row r="334" customFormat="false" ht="14.25" hidden="false" customHeight="true" outlineLevel="0" collapsed="false">
      <c r="E334" s="8" t="s">
        <v>132</v>
      </c>
      <c r="F334" s="9" t="str">
        <f aca="false">HYPERLINK("https://vtmf.veevavault.com/ui/#doc_info/2343173/1/0", "26866138LYM3002-KOR--Approval (v1.0)")</f>
        <v>26866138LYM3002-KOR--Approval (v1.0)</v>
      </c>
      <c r="G334" s="8" t="s">
        <v>502</v>
      </c>
      <c r="H334" s="9" t="str">
        <f aca="false">HYPERLINK("https://vtmf.veevavault.com/ui/#doc_info/2343173/1/0", "EDMS-GCO-45126556")</f>
        <v>EDMS-GCO-45126556</v>
      </c>
    </row>
    <row r="335" customFormat="false" ht="14.25" hidden="false" customHeight="true" outlineLevel="0" collapsed="false">
      <c r="E335" s="8" t="s">
        <v>132</v>
      </c>
      <c r="F335" s="9" t="str">
        <f aca="false">HYPERLINK("https://vtmf.veevavault.com/ui/#doc_info/2412439/1/0", "26866138LYM3002-KOR--Approval (v1.0)")</f>
        <v>26866138LYM3002-KOR--Approval (v1.0)</v>
      </c>
      <c r="G335" s="8" t="s">
        <v>503</v>
      </c>
      <c r="H335" s="9" t="str">
        <f aca="false">HYPERLINK("https://vtmf.veevavault.com/ui/#doc_info/2412439/1/0", "EDMS-GCO-29810082")</f>
        <v>EDMS-GCO-29810082</v>
      </c>
    </row>
    <row r="336" customFormat="false" ht="14.25" hidden="false" customHeight="true" outlineLevel="0" collapsed="false">
      <c r="E336" s="8" t="s">
        <v>132</v>
      </c>
      <c r="F336" s="9" t="str">
        <f aca="false">HYPERLINK("https://vtmf.veevavault.com/ui/#doc_info/2412446/1/0", "26866138LYM3002-KOR--Approval (v1.0)")</f>
        <v>26866138LYM3002-KOR--Approval (v1.0)</v>
      </c>
      <c r="G336" s="8" t="s">
        <v>504</v>
      </c>
      <c r="H336" s="9" t="str">
        <f aca="false">HYPERLINK("https://vtmf.veevavault.com/ui/#doc_info/2412446/1/0", "EDMS-GCO-29810161")</f>
        <v>EDMS-GCO-29810161</v>
      </c>
    </row>
    <row r="337" customFormat="false" ht="14.25" hidden="false" customHeight="true" outlineLevel="0" collapsed="false">
      <c r="E337" s="8" t="s">
        <v>132</v>
      </c>
      <c r="F337" s="9" t="str">
        <f aca="false">HYPERLINK("https://vtmf.veevavault.com/ui/#doc_info/2434987/1/0", "26866138LYM3002-KOR--Approval (v1.0)")</f>
        <v>26866138LYM3002-KOR--Approval (v1.0)</v>
      </c>
      <c r="G337" s="8" t="s">
        <v>505</v>
      </c>
      <c r="H337" s="9" t="str">
        <f aca="false">HYPERLINK("https://vtmf.veevavault.com/ui/#doc_info/2434987/1/0", "EDMS-GCO-32252351")</f>
        <v>EDMS-GCO-32252351</v>
      </c>
    </row>
    <row r="338" customFormat="false" ht="14.25" hidden="false" customHeight="true" outlineLevel="0" collapsed="false">
      <c r="E338" s="8" t="s">
        <v>132</v>
      </c>
      <c r="F338" s="9" t="str">
        <f aca="false">HYPERLINK("https://vtmf.veevavault.com/ui/#doc_info/2434992/1/0", "26866138LYM3002-KOR--Approval (v1.0)")</f>
        <v>26866138LYM3002-KOR--Approval (v1.0)</v>
      </c>
      <c r="G338" s="8" t="s">
        <v>506</v>
      </c>
      <c r="H338" s="9" t="str">
        <f aca="false">HYPERLINK("https://vtmf.veevavault.com/ui/#doc_info/2434992/1/0", "EDMS-GCO-32252354")</f>
        <v>EDMS-GCO-32252354</v>
      </c>
    </row>
    <row r="339" customFormat="false" ht="14.25" hidden="false" customHeight="true" outlineLevel="0" collapsed="false">
      <c r="E339" s="8" t="s">
        <v>132</v>
      </c>
      <c r="F339" s="9" t="str">
        <f aca="false">HYPERLINK("https://vtmf.veevavault.com/ui/#doc_info/4558971/1/0", "26866138LYM3002-KOR--Approval (v1.0)")</f>
        <v>26866138LYM3002-KOR--Approval (v1.0)</v>
      </c>
      <c r="G339" s="8" t="s">
        <v>507</v>
      </c>
      <c r="H339" s="9" t="str">
        <f aca="false">HYPERLINK("https://vtmf.veevavault.com/ui/#doc_info/4558971/1/0", "VTMF-802168")</f>
        <v>VTMF-802168</v>
      </c>
    </row>
    <row r="340" customFormat="false" ht="14.25" hidden="false" customHeight="true" outlineLevel="0" collapsed="false">
      <c r="E340" s="8" t="s">
        <v>132</v>
      </c>
      <c r="F340" s="9" t="str">
        <f aca="false">HYPERLINK("https://vtmf.veevavault.com/ui/#doc_info/4558973/1/0", "26866138LYM3002-KOR--Approval (v1.0)")</f>
        <v>26866138LYM3002-KOR--Approval (v1.0)</v>
      </c>
      <c r="G340" s="8" t="s">
        <v>508</v>
      </c>
      <c r="H340" s="9" t="str">
        <f aca="false">HYPERLINK("https://vtmf.veevavault.com/ui/#doc_info/4558973/1/0", "VTMF-802170")</f>
        <v>VTMF-802170</v>
      </c>
    </row>
    <row r="341" customFormat="false" ht="14.25" hidden="false" customHeight="true" outlineLevel="0" collapsed="false">
      <c r="E341" s="8" t="s">
        <v>132</v>
      </c>
      <c r="F341" s="9" t="str">
        <f aca="false">HYPERLINK("https://vtmf.veevavault.com/ui/#doc_info/4558974/1/0", "26866138LYM3002-KOR--Approval (v1.0)")</f>
        <v>26866138LYM3002-KOR--Approval (v1.0)</v>
      </c>
      <c r="G341" s="8" t="s">
        <v>509</v>
      </c>
      <c r="H341" s="9" t="str">
        <f aca="false">HYPERLINK("https://vtmf.veevavault.com/ui/#doc_info/4558974/1/0", "VTMF-802171")</f>
        <v>VTMF-802171</v>
      </c>
    </row>
    <row r="342" customFormat="false" ht="14.25" hidden="false" customHeight="true" outlineLevel="0" collapsed="false">
      <c r="E342" s="8" t="s">
        <v>132</v>
      </c>
      <c r="F342" s="9" t="str">
        <f aca="false">HYPERLINK("https://vtmf.veevavault.com/ui/#doc_info/4558975/1/0", "26866138LYM3002-KOR--Approval (v1.0)")</f>
        <v>26866138LYM3002-KOR--Approval (v1.0)</v>
      </c>
      <c r="G342" s="8" t="s">
        <v>510</v>
      </c>
      <c r="H342" s="9" t="str">
        <f aca="false">HYPERLINK("https://vtmf.veevavault.com/ui/#doc_info/4558975/1/0", "VTMF-802172")</f>
        <v>VTMF-802172</v>
      </c>
    </row>
    <row r="343" customFormat="false" ht="14.25" hidden="false" customHeight="true" outlineLevel="0" collapsed="false">
      <c r="E343" s="8" t="s">
        <v>132</v>
      </c>
      <c r="F343" s="9" t="str">
        <f aca="false">HYPERLINK("https://vtmf.veevavault.com/ui/#doc_info/4559051/1/0", "26866138LYM3002-KOR--Approval (v1.0)")</f>
        <v>26866138LYM3002-KOR--Approval (v1.0)</v>
      </c>
      <c r="G343" s="8" t="s">
        <v>511</v>
      </c>
      <c r="H343" s="9" t="str">
        <f aca="false">HYPERLINK("https://vtmf.veevavault.com/ui/#doc_info/4559051/1/0", "VTMF-802243")</f>
        <v>VTMF-802243</v>
      </c>
    </row>
    <row r="344" customFormat="false" ht="14.25" hidden="false" customHeight="true" outlineLevel="0" collapsed="false">
      <c r="E344" s="8" t="s">
        <v>132</v>
      </c>
      <c r="F344" s="9" t="str">
        <f aca="false">HYPERLINK("https://vtmf.veevavault.com/ui/#doc_info/4559157/1/0", "26866138LYM3002-KOR--Approval (v1.0)")</f>
        <v>26866138LYM3002-KOR--Approval (v1.0)</v>
      </c>
      <c r="G344" s="8" t="s">
        <v>512</v>
      </c>
      <c r="H344" s="9" t="str">
        <f aca="false">HYPERLINK("https://vtmf.veevavault.com/ui/#doc_info/4559157/1/0", "VTMF-802351")</f>
        <v>VTMF-802351</v>
      </c>
    </row>
    <row r="345" customFormat="false" ht="14.25" hidden="false" customHeight="true" outlineLevel="0" collapsed="false">
      <c r="E345" s="8" t="s">
        <v>132</v>
      </c>
      <c r="F345" s="9" t="str">
        <f aca="false">HYPERLINK("https://vtmf.veevavault.com/ui/#doc_info/6982699/1/0", "26866138LYM3002-KOR--Approval (v1.0)")</f>
        <v>26866138LYM3002-KOR--Approval (v1.0)</v>
      </c>
      <c r="G345" s="8" t="s">
        <v>513</v>
      </c>
      <c r="H345" s="9" t="str">
        <f aca="false">HYPERLINK("https://vtmf.veevavault.com/ui/#doc_info/6982699/1/0", "VTMF-3191162")</f>
        <v>VTMF-3191162</v>
      </c>
    </row>
    <row r="346" customFormat="false" ht="14.25" hidden="false" customHeight="true" outlineLevel="0" collapsed="false">
      <c r="E346" s="8" t="s">
        <v>132</v>
      </c>
      <c r="F346" s="9" t="str">
        <f aca="false">HYPERLINK("https://vtmf.veevavault.com/ui/#doc_info/6982703/1/0", "26866138LYM3002-KOR--Approval (v1.0)")</f>
        <v>26866138LYM3002-KOR--Approval (v1.0)</v>
      </c>
      <c r="G346" s="8" t="s">
        <v>514</v>
      </c>
      <c r="H346" s="9" t="str">
        <f aca="false">HYPERLINK("https://vtmf.veevavault.com/ui/#doc_info/6982703/1/0", "VTMF-3191164")</f>
        <v>VTMF-3191164</v>
      </c>
    </row>
    <row r="347" customFormat="false" ht="14.25" hidden="false" customHeight="true" outlineLevel="0" collapsed="false">
      <c r="E347" s="8" t="s">
        <v>132</v>
      </c>
      <c r="F347" s="9" t="str">
        <f aca="false">HYPERLINK("https://vtmf.veevavault.com/ui/#doc_info/6982704/1/0", "26866138LYM3002-KOR--Approval (v1.0)")</f>
        <v>26866138LYM3002-KOR--Approval (v1.0)</v>
      </c>
      <c r="G347" s="8" t="s">
        <v>515</v>
      </c>
      <c r="H347" s="9" t="str">
        <f aca="false">HYPERLINK("https://vtmf.veevavault.com/ui/#doc_info/6982704/1/0", "VTMF-3191165")</f>
        <v>VTMF-3191165</v>
      </c>
    </row>
    <row r="348" customFormat="false" ht="14.25" hidden="false" customHeight="true" outlineLevel="0" collapsed="false">
      <c r="E348" s="8" t="s">
        <v>132</v>
      </c>
      <c r="F348" s="9" t="str">
        <f aca="false">HYPERLINK("https://vtmf.veevavault.com/ui/#doc_info/4558972/1/0", "26866138LYM3002-KOR--Approval- (v1.0)")</f>
        <v>26866138LYM3002-KOR--Approval- (v1.0)</v>
      </c>
      <c r="G348" s="8" t="s">
        <v>516</v>
      </c>
      <c r="H348" s="9" t="str">
        <f aca="false">HYPERLINK("https://vtmf.veevavault.com/ui/#doc_info/4558972/1/0", "VTMF-802169")</f>
        <v>VTMF-802169</v>
      </c>
    </row>
    <row r="349" customFormat="false" ht="14.25" hidden="false" customHeight="true" outlineLevel="0" collapsed="false">
      <c r="E349" s="8" t="s">
        <v>132</v>
      </c>
      <c r="F349" s="9" t="str">
        <f aca="false">HYPERLINK("https://vtmf.veevavault.com/ui/#doc_info/9101387/1/0", "26866138LYM3002-KOR--Approval-06 Jul 2017 (v1.0)")</f>
        <v>26866138LYM3002-KOR--Approval-06 Jul 2017 (v1.0)</v>
      </c>
      <c r="G349" s="8" t="s">
        <v>517</v>
      </c>
      <c r="H349" s="9" t="str">
        <f aca="false">HYPERLINK("https://vtmf.veevavault.com/ui/#doc_info/9101387/1/0", "VTMF-5202985")</f>
        <v>VTMF-5202985</v>
      </c>
    </row>
    <row r="350" customFormat="false" ht="14.25" hidden="false" customHeight="true" outlineLevel="0" collapsed="false">
      <c r="E350" s="8" t="s">
        <v>132</v>
      </c>
      <c r="F350" s="9" t="str">
        <f aca="false">HYPERLINK("https://vtmf.veevavault.com/ui/#doc_info/9101388/1/0", "26866138LYM3002-KOR--Approval-06 Jul 2017 (v1.0)")</f>
        <v>26866138LYM3002-KOR--Approval-06 Jul 2017 (v1.0)</v>
      </c>
      <c r="G350" s="8" t="s">
        <v>518</v>
      </c>
      <c r="H350" s="9" t="str">
        <f aca="false">HYPERLINK("https://vtmf.veevavault.com/ui/#doc_info/9101388/1/0", "VTMF-5202986")</f>
        <v>VTMF-5202986</v>
      </c>
    </row>
    <row r="351" customFormat="false" ht="14.25" hidden="false" customHeight="true" outlineLevel="0" collapsed="false">
      <c r="E351" s="8" t="s">
        <v>132</v>
      </c>
      <c r="F351" s="9" t="str">
        <f aca="false">HYPERLINK("https://vtmf.veevavault.com/ui/#doc_info/9101389/1/0", "26866138LYM3002-KOR--Approval-30 Mar 2017 (v1.0)")</f>
        <v>26866138LYM3002-KOR--Approval-30 Mar 2017 (v1.0)</v>
      </c>
      <c r="G351" s="8" t="s">
        <v>519</v>
      </c>
      <c r="H351" s="9" t="str">
        <f aca="false">HYPERLINK("https://vtmf.veevavault.com/ui/#doc_info/9101389/1/0", "VTMF-5202987")</f>
        <v>VTMF-5202987</v>
      </c>
    </row>
    <row r="352" customFormat="false" ht="14.25" hidden="false" customHeight="true" outlineLevel="0" collapsed="false">
      <c r="E352" s="8" t="s">
        <v>132</v>
      </c>
      <c r="F352" s="9" t="str">
        <f aca="false">HYPERLINK("https://vtmf.veevavault.com/ui/#doc_info/5977497/1/0", "26866138LYM3002-KOR--Approval_MFDS_2015 annual report_22Feb2016 (v1.0)")</f>
        <v>26866138LYM3002-KOR--Approval_MFDS_2015 annual report_22Feb2016 (v1.0)</v>
      </c>
      <c r="G352" s="8" t="s">
        <v>520</v>
      </c>
      <c r="H352" s="9" t="str">
        <f aca="false">HYPERLINK("https://vtmf.veevavault.com/ui/#doc_info/5977497/1/0", "VTMF-2204279")</f>
        <v>VTMF-2204279</v>
      </c>
    </row>
    <row r="353" customFormat="false" ht="14.25" hidden="false" customHeight="true" outlineLevel="0" collapsed="false">
      <c r="E353" s="8" t="s">
        <v>132</v>
      </c>
      <c r="F353" s="9" t="str">
        <f aca="false">HYPERLINK("https://vtmf.veevavault.com/ui/#doc_info/2988796/2/0", "26866138MMY2073-KOR--Approval-24 Sep 2012 (v2.0)")</f>
        <v>26866138MMY2073-KOR--Approval-24 Sep 2012 (v2.0)</v>
      </c>
      <c r="G353" s="8" t="s">
        <v>521</v>
      </c>
      <c r="H353" s="9" t="str">
        <f aca="false">HYPERLINK("https://vtmf.veevavault.com/ui/#doc_info/2988796/2/0", "EDMS-GCO-68458497")</f>
        <v>EDMS-GCO-68458497</v>
      </c>
    </row>
    <row r="354" customFormat="false" ht="14.25" hidden="false" customHeight="true" outlineLevel="0" collapsed="false">
      <c r="E354" s="8" t="s">
        <v>132</v>
      </c>
      <c r="F354" s="9" t="str">
        <f aca="false">HYPERLINK("https://vtmf.veevavault.com/ui/#doc_info/3044006/1/0", "26866138MMY2073-KOR--Approval-31 Dec 2013 (v1.0)")</f>
        <v>26866138MMY2073-KOR--Approval-31 Dec 2013 (v1.0)</v>
      </c>
      <c r="G354" s="8" t="s">
        <v>522</v>
      </c>
      <c r="H354" s="9" t="str">
        <f aca="false">HYPERLINK("https://vtmf.veevavault.com/ui/#doc_info/3044006/1/0", "EDMS-GCO-88111763")</f>
        <v>EDMS-GCO-88111763</v>
      </c>
    </row>
    <row r="355" customFormat="false" ht="14.25" hidden="false" customHeight="true" outlineLevel="0" collapsed="false">
      <c r="E355" s="8" t="s">
        <v>132</v>
      </c>
      <c r="F355" s="9" t="str">
        <f aca="false">HYPERLINK("https://vtmf.veevavault.com/ui/#doc_info/1559957/1/0", "28431754DIA3004-KOR--Approval (v1.0)")</f>
        <v>28431754DIA3004-KOR--Approval (v1.0)</v>
      </c>
      <c r="G355" s="8" t="s">
        <v>523</v>
      </c>
      <c r="H355" s="9" t="str">
        <f aca="false">HYPERLINK("https://vtmf.veevavault.com/ui/#doc_info/1559957/1/0", "EDMS-GCO-12302941")</f>
        <v>EDMS-GCO-12302941</v>
      </c>
    </row>
    <row r="356" customFormat="false" ht="14.25" hidden="false" customHeight="true" outlineLevel="0" collapsed="false">
      <c r="E356" s="8" t="s">
        <v>132</v>
      </c>
      <c r="F356" s="9" t="str">
        <f aca="false">HYPERLINK("https://vtmf.veevavault.com/ui/#doc_info/1564452/1/0", "28431754DIA3004-KOR--Approval (v1.0)")</f>
        <v>28431754DIA3004-KOR--Approval (v1.0)</v>
      </c>
      <c r="G356" s="8" t="s">
        <v>523</v>
      </c>
      <c r="H356" s="9" t="str">
        <f aca="false">HYPERLINK("https://vtmf.veevavault.com/ui/#doc_info/1564452/1/0", "EDMS-GCO-13901000")</f>
        <v>EDMS-GCO-13901000</v>
      </c>
    </row>
    <row r="357" customFormat="false" ht="14.25" hidden="false" customHeight="true" outlineLevel="0" collapsed="false">
      <c r="E357" s="8" t="s">
        <v>132</v>
      </c>
      <c r="F357" s="9" t="str">
        <f aca="false">HYPERLINK("https://vtmf.veevavault.com/ui/#doc_info/1564845/1/0", "28431754DIA3004-KOR--Approval (v1.0)")</f>
        <v>28431754DIA3004-KOR--Approval (v1.0)</v>
      </c>
      <c r="G357" s="8" t="s">
        <v>524</v>
      </c>
      <c r="H357" s="9" t="str">
        <f aca="false">HYPERLINK("https://vtmf.veevavault.com/ui/#doc_info/1564845/1/0", "EDMS-GCO-13930161")</f>
        <v>EDMS-GCO-13930161</v>
      </c>
    </row>
    <row r="358" customFormat="false" ht="14.25" hidden="false" customHeight="true" outlineLevel="0" collapsed="false">
      <c r="E358" s="8" t="s">
        <v>132</v>
      </c>
      <c r="F358" s="9" t="str">
        <f aca="false">HYPERLINK("https://vtmf.veevavault.com/ui/#doc_info/1583026/1/0", "28431754DIA3004-KOR--Approval (v1.0)")</f>
        <v>28431754DIA3004-KOR--Approval (v1.0)</v>
      </c>
      <c r="G358" s="8" t="s">
        <v>525</v>
      </c>
      <c r="H358" s="9" t="str">
        <f aca="false">HYPERLINK("https://vtmf.veevavault.com/ui/#doc_info/1583026/1/0", "EDMS-GCO-14892408")</f>
        <v>EDMS-GCO-14892408</v>
      </c>
    </row>
    <row r="359" customFormat="false" ht="14.25" hidden="false" customHeight="true" outlineLevel="0" collapsed="false">
      <c r="E359" s="8" t="s">
        <v>132</v>
      </c>
      <c r="F359" s="9" t="str">
        <f aca="false">HYPERLINK("https://vtmf.veevavault.com/ui/#doc_info/1588408/1/0", "28431754DIA3004-KOR--Approval (v1.0)")</f>
        <v>28431754DIA3004-KOR--Approval (v1.0)</v>
      </c>
      <c r="G359" s="8" t="s">
        <v>526</v>
      </c>
      <c r="H359" s="9" t="str">
        <f aca="false">HYPERLINK("https://vtmf.veevavault.com/ui/#doc_info/1588408/1/0", "EDMS-GCO-15101228")</f>
        <v>EDMS-GCO-15101228</v>
      </c>
    </row>
    <row r="360" customFormat="false" ht="14.25" hidden="false" customHeight="true" outlineLevel="0" collapsed="false">
      <c r="E360" s="8" t="s">
        <v>132</v>
      </c>
      <c r="F360" s="9" t="str">
        <f aca="false">HYPERLINK("https://vtmf.veevavault.com/ui/#doc_info/1593607/1/0", "28431754DIA3004-KOR--Approval (v1.0)")</f>
        <v>28431754DIA3004-KOR--Approval (v1.0)</v>
      </c>
      <c r="G360" s="8" t="s">
        <v>527</v>
      </c>
      <c r="H360" s="9" t="str">
        <f aca="false">HYPERLINK("https://vtmf.veevavault.com/ui/#doc_info/1593607/1/0", "EDMS-GCO-15738855")</f>
        <v>EDMS-GCO-15738855</v>
      </c>
    </row>
    <row r="361" customFormat="false" ht="14.25" hidden="false" customHeight="true" outlineLevel="0" collapsed="false">
      <c r="E361" s="8" t="s">
        <v>132</v>
      </c>
      <c r="F361" s="9" t="str">
        <f aca="false">HYPERLINK("https://vtmf.veevavault.com/ui/#doc_info/1593617/1/0", "28431754DIA3004-KOR--Approval (v1.0)")</f>
        <v>28431754DIA3004-KOR--Approval (v1.0)</v>
      </c>
      <c r="G361" s="8" t="s">
        <v>528</v>
      </c>
      <c r="H361" s="9" t="str">
        <f aca="false">HYPERLINK("https://vtmf.veevavault.com/ui/#doc_info/1593617/1/0", "EDMS-GCO-15738869")</f>
        <v>EDMS-GCO-15738869</v>
      </c>
    </row>
    <row r="362" customFormat="false" ht="14.25" hidden="false" customHeight="true" outlineLevel="0" collapsed="false">
      <c r="E362" s="8" t="s">
        <v>132</v>
      </c>
      <c r="F362" s="9" t="str">
        <f aca="false">HYPERLINK("https://vtmf.veevavault.com/ui/#doc_info/1602448/2/0", "28431754DIA3004-KOR--Approval (v2.0)")</f>
        <v>28431754DIA3004-KOR--Approval (v2.0)</v>
      </c>
      <c r="G362" s="8" t="s">
        <v>529</v>
      </c>
      <c r="H362" s="9" t="str">
        <f aca="false">HYPERLINK("https://vtmf.veevavault.com/ui/#doc_info/1602448/2/0", "EDMS-GCO-18434949")</f>
        <v>EDMS-GCO-18434949</v>
      </c>
    </row>
    <row r="363" customFormat="false" ht="14.25" hidden="false" customHeight="true" outlineLevel="0" collapsed="false">
      <c r="E363" s="8" t="s">
        <v>132</v>
      </c>
      <c r="F363" s="9" t="str">
        <f aca="false">HYPERLINK("https://vtmf.veevavault.com/ui/#doc_info/1612446/1/0", "28431754DIA3004-KOR--Approval (v1.0)")</f>
        <v>28431754DIA3004-KOR--Approval (v1.0)</v>
      </c>
      <c r="G363" s="8" t="s">
        <v>530</v>
      </c>
      <c r="H363" s="9" t="str">
        <f aca="false">HYPERLINK("https://vtmf.veevavault.com/ui/#doc_info/1612446/1/0", "EDMS-GCO-20502927")</f>
        <v>EDMS-GCO-20502927</v>
      </c>
    </row>
    <row r="364" customFormat="false" ht="14.25" hidden="false" customHeight="true" outlineLevel="0" collapsed="false">
      <c r="E364" s="8" t="s">
        <v>132</v>
      </c>
      <c r="F364" s="9" t="str">
        <f aca="false">HYPERLINK("https://vtmf.veevavault.com/ui/#doc_info/1618155/1/0", "28431754DIA3004-KOR--Approval (v1.0)")</f>
        <v>28431754DIA3004-KOR--Approval (v1.0)</v>
      </c>
      <c r="G364" s="8" t="s">
        <v>531</v>
      </c>
      <c r="H364" s="9" t="str">
        <f aca="false">HYPERLINK("https://vtmf.veevavault.com/ui/#doc_info/1618155/1/0", "EDMS-GCO-21115186")</f>
        <v>EDMS-GCO-21115186</v>
      </c>
    </row>
    <row r="365" customFormat="false" ht="14.25" hidden="false" customHeight="true" outlineLevel="0" collapsed="false">
      <c r="E365" s="8" t="s">
        <v>132</v>
      </c>
      <c r="F365" s="9" t="str">
        <f aca="false">HYPERLINK("https://vtmf.veevavault.com/ui/#doc_info/1621700/1/0", "28431754DIA3004-KOR--Approval (v1.0)")</f>
        <v>28431754DIA3004-KOR--Approval (v1.0)</v>
      </c>
      <c r="G365" s="8" t="s">
        <v>532</v>
      </c>
      <c r="H365" s="9" t="str">
        <f aca="false">HYPERLINK("https://vtmf.veevavault.com/ui/#doc_info/1621700/1/0", "EDMS-GCO-21416553")</f>
        <v>EDMS-GCO-21416553</v>
      </c>
    </row>
    <row r="366" customFormat="false" ht="14.25" hidden="false" customHeight="true" outlineLevel="0" collapsed="false">
      <c r="E366" s="8" t="s">
        <v>132</v>
      </c>
      <c r="F366" s="9" t="str">
        <f aca="false">HYPERLINK("https://vtmf.veevavault.com/ui/#doc_info/1624576/1/0", "28431754DIA3004-KOR--Approval (v1.0)")</f>
        <v>28431754DIA3004-KOR--Approval (v1.0)</v>
      </c>
      <c r="G366" s="8" t="s">
        <v>533</v>
      </c>
      <c r="H366" s="9" t="str">
        <f aca="false">HYPERLINK("https://vtmf.veevavault.com/ui/#doc_info/1624576/1/0", "EDMS-GCO-21724791")</f>
        <v>EDMS-GCO-21724791</v>
      </c>
    </row>
    <row r="367" customFormat="false" ht="14.25" hidden="false" customHeight="true" outlineLevel="0" collapsed="false">
      <c r="E367" s="8" t="s">
        <v>132</v>
      </c>
      <c r="F367" s="9" t="str">
        <f aca="false">HYPERLINK("https://vtmf.veevavault.com/ui/#doc_info/1624584/1/0", "28431754DIA3004-KOR--Approval (v1.0)")</f>
        <v>28431754DIA3004-KOR--Approval (v1.0)</v>
      </c>
      <c r="G367" s="8" t="s">
        <v>534</v>
      </c>
      <c r="H367" s="9" t="str">
        <f aca="false">HYPERLINK("https://vtmf.veevavault.com/ui/#doc_info/1624584/1/0", "EDMS-GCO-21724801")</f>
        <v>EDMS-GCO-21724801</v>
      </c>
    </row>
    <row r="368" customFormat="false" ht="14.25" hidden="false" customHeight="true" outlineLevel="0" collapsed="false">
      <c r="E368" s="8" t="s">
        <v>132</v>
      </c>
      <c r="F368" s="9" t="str">
        <f aca="false">HYPERLINK("https://vtmf.veevavault.com/ui/#doc_info/1631727/1/0", "28431754DIA3004-KOR--Approval (v1.0)")</f>
        <v>28431754DIA3004-KOR--Approval (v1.0)</v>
      </c>
      <c r="G368" s="8" t="s">
        <v>530</v>
      </c>
      <c r="H368" s="9" t="str">
        <f aca="false">HYPERLINK("https://vtmf.veevavault.com/ui/#doc_info/1631727/1/0", "EDMS-GCO-22417649")</f>
        <v>EDMS-GCO-22417649</v>
      </c>
    </row>
    <row r="369" customFormat="false" ht="14.25" hidden="false" customHeight="true" outlineLevel="0" collapsed="false">
      <c r="E369" s="8" t="s">
        <v>132</v>
      </c>
      <c r="F369" s="9" t="str">
        <f aca="false">HYPERLINK("https://vtmf.veevavault.com/ui/#doc_info/1645094/1/0", "28431754DIA3004-KOR--Approval (v1.0)")</f>
        <v>28431754DIA3004-KOR--Approval (v1.0)</v>
      </c>
      <c r="G369" s="8" t="s">
        <v>535</v>
      </c>
      <c r="H369" s="9" t="str">
        <f aca="false">HYPERLINK("https://vtmf.veevavault.com/ui/#doc_info/1645094/1/0", "EDMS-GCO-24397745")</f>
        <v>EDMS-GCO-24397745</v>
      </c>
    </row>
    <row r="370" customFormat="false" ht="14.25" hidden="false" customHeight="true" outlineLevel="0" collapsed="false">
      <c r="E370" s="8" t="s">
        <v>132</v>
      </c>
      <c r="F370" s="9" t="str">
        <f aca="false">HYPERLINK("https://vtmf.veevavault.com/ui/#doc_info/1662768/1/0", "28431754DIA3004-KOR--Approval (v1.0)")</f>
        <v>28431754DIA3004-KOR--Approval (v1.0)</v>
      </c>
      <c r="G370" s="8" t="s">
        <v>536</v>
      </c>
      <c r="H370" s="9" t="str">
        <f aca="false">HYPERLINK("https://vtmf.veevavault.com/ui/#doc_info/1662768/1/0", "EDMS-GCO-30344973")</f>
        <v>EDMS-GCO-30344973</v>
      </c>
    </row>
    <row r="371" customFormat="false" ht="14.25" hidden="false" customHeight="true" outlineLevel="0" collapsed="false">
      <c r="E371" s="8" t="s">
        <v>132</v>
      </c>
      <c r="F371" s="9" t="str">
        <f aca="false">HYPERLINK("https://vtmf.veevavault.com/ui/#doc_info/1662770/1/0", "28431754DIA3004-KOR--Approval (v1.0)")</f>
        <v>28431754DIA3004-KOR--Approval (v1.0)</v>
      </c>
      <c r="G371" s="8" t="s">
        <v>537</v>
      </c>
      <c r="H371" s="9" t="str">
        <f aca="false">HYPERLINK("https://vtmf.veevavault.com/ui/#doc_info/1662770/1/0", "EDMS-GCO-30344975")</f>
        <v>EDMS-GCO-30344975</v>
      </c>
    </row>
    <row r="372" customFormat="false" ht="14.25" hidden="false" customHeight="true" outlineLevel="0" collapsed="false">
      <c r="E372" s="8" t="s">
        <v>132</v>
      </c>
      <c r="F372" s="9" t="str">
        <f aca="false">HYPERLINK("https://vtmf.veevavault.com/ui/#doc_info/1736068/1/0", "28431754DIA3004-KOR--Approval (v1.0)")</f>
        <v>28431754DIA3004-KOR--Approval (v1.0)</v>
      </c>
      <c r="G372" s="8" t="s">
        <v>538</v>
      </c>
      <c r="H372" s="9" t="str">
        <f aca="false">HYPERLINK("https://vtmf.veevavault.com/ui/#doc_info/1736068/1/0", "EDMS-GCO-46196553")</f>
        <v>EDMS-GCO-46196553</v>
      </c>
    </row>
    <row r="373" customFormat="false" ht="14.25" hidden="false" customHeight="true" outlineLevel="0" collapsed="false">
      <c r="E373" s="8" t="s">
        <v>132</v>
      </c>
      <c r="F373" s="9" t="str">
        <f aca="false">HYPERLINK("https://vtmf.veevavault.com/ui/#doc_info/1744761/1/0", "28431754DIA3004-KOR--Approval (v1.0)")</f>
        <v>28431754DIA3004-KOR--Approval (v1.0)</v>
      </c>
      <c r="G373" s="8" t="s">
        <v>539</v>
      </c>
      <c r="H373" s="9" t="str">
        <f aca="false">HYPERLINK("https://vtmf.veevavault.com/ui/#doc_info/1744761/1/0", "EDMS-GCO-47508852")</f>
        <v>EDMS-GCO-47508852</v>
      </c>
    </row>
    <row r="374" customFormat="false" ht="14.25" hidden="false" customHeight="true" outlineLevel="0" collapsed="false">
      <c r="E374" s="8" t="s">
        <v>132</v>
      </c>
      <c r="F374" s="9" t="str">
        <f aca="false">HYPERLINK("https://vtmf.veevavault.com/ui/#doc_info/1744768/1/0", "28431754DIA3004-KOR--Approval (v1.0)")</f>
        <v>28431754DIA3004-KOR--Approval (v1.0)</v>
      </c>
      <c r="G374" s="8" t="s">
        <v>540</v>
      </c>
      <c r="H374" s="9" t="str">
        <f aca="false">HYPERLINK("https://vtmf.veevavault.com/ui/#doc_info/1744768/1/0", "EDMS-GCO-47508853")</f>
        <v>EDMS-GCO-47508853</v>
      </c>
    </row>
    <row r="375" customFormat="false" ht="14.25" hidden="false" customHeight="true" outlineLevel="0" collapsed="false">
      <c r="E375" s="8" t="s">
        <v>132</v>
      </c>
      <c r="F375" s="9" t="str">
        <f aca="false">HYPERLINK("https://vtmf.veevavault.com/ui/#doc_info/1744777/1/0", "28431754DIA3004-KOR--Approval (v1.0)")</f>
        <v>28431754DIA3004-KOR--Approval (v1.0)</v>
      </c>
      <c r="G375" s="8" t="s">
        <v>541</v>
      </c>
      <c r="H375" s="9" t="str">
        <f aca="false">HYPERLINK("https://vtmf.veevavault.com/ui/#doc_info/1744777/1/0", "EDMS-GCO-47508854")</f>
        <v>EDMS-GCO-47508854</v>
      </c>
    </row>
    <row r="376" customFormat="false" ht="14.25" hidden="false" customHeight="true" outlineLevel="0" collapsed="false">
      <c r="E376" s="8" t="s">
        <v>132</v>
      </c>
      <c r="F376" s="9" t="str">
        <f aca="false">HYPERLINK("https://vtmf.veevavault.com/ui/#doc_info/1744786/1/0", "28431754DIA3004-KOR--Approval (v1.0)")</f>
        <v>28431754DIA3004-KOR--Approval (v1.0)</v>
      </c>
      <c r="G376" s="8" t="s">
        <v>542</v>
      </c>
      <c r="H376" s="9" t="str">
        <f aca="false">HYPERLINK("https://vtmf.veevavault.com/ui/#doc_info/1744786/1/0", "EDMS-GCO-47508855")</f>
        <v>EDMS-GCO-47508855</v>
      </c>
    </row>
    <row r="377" customFormat="false" ht="14.25" hidden="false" customHeight="true" outlineLevel="0" collapsed="false">
      <c r="E377" s="8" t="s">
        <v>132</v>
      </c>
      <c r="F377" s="9" t="str">
        <f aca="false">HYPERLINK("https://vtmf.veevavault.com/ui/#doc_info/1744795/1/0", "28431754DIA3004-KOR--Approval (v1.0)")</f>
        <v>28431754DIA3004-KOR--Approval (v1.0)</v>
      </c>
      <c r="G377" s="8" t="s">
        <v>543</v>
      </c>
      <c r="H377" s="9" t="str">
        <f aca="false">HYPERLINK("https://vtmf.veevavault.com/ui/#doc_info/1744795/1/0", "EDMS-GCO-47508856")</f>
        <v>EDMS-GCO-47508856</v>
      </c>
    </row>
    <row r="378" customFormat="false" ht="14.25" hidden="false" customHeight="true" outlineLevel="0" collapsed="false">
      <c r="E378" s="8" t="s">
        <v>132</v>
      </c>
      <c r="F378" s="9" t="str">
        <f aca="false">HYPERLINK("https://vtmf.veevavault.com/ui/#doc_info/1744801/1/0", "28431754DIA3004-KOR--Approval (v1.0)")</f>
        <v>28431754DIA3004-KOR--Approval (v1.0)</v>
      </c>
      <c r="G378" s="8" t="s">
        <v>544</v>
      </c>
      <c r="H378" s="9" t="str">
        <f aca="false">HYPERLINK("https://vtmf.veevavault.com/ui/#doc_info/1744801/1/0", "EDMS-GCO-47508857")</f>
        <v>EDMS-GCO-47508857</v>
      </c>
    </row>
    <row r="379" customFormat="false" ht="14.25" hidden="false" customHeight="true" outlineLevel="0" collapsed="false">
      <c r="E379" s="8" t="s">
        <v>132</v>
      </c>
      <c r="F379" s="9" t="str">
        <f aca="false">HYPERLINK("https://vtmf.veevavault.com/ui/#doc_info/1744809/1/0", "28431754DIA3004-KOR--Approval (v1.0)")</f>
        <v>28431754DIA3004-KOR--Approval (v1.0)</v>
      </c>
      <c r="G379" s="8" t="s">
        <v>545</v>
      </c>
      <c r="H379" s="9" t="str">
        <f aca="false">HYPERLINK("https://vtmf.veevavault.com/ui/#doc_info/1744809/1/0", "EDMS-GCO-47508858")</f>
        <v>EDMS-GCO-47508858</v>
      </c>
    </row>
    <row r="380" customFormat="false" ht="14.25" hidden="false" customHeight="true" outlineLevel="0" collapsed="false">
      <c r="E380" s="8" t="s">
        <v>132</v>
      </c>
      <c r="F380" s="9" t="str">
        <f aca="false">HYPERLINK("https://vtmf.veevavault.com/ui/#doc_info/1744819/1/0", "28431754DIA3004-KOR--Approval (v1.0)")</f>
        <v>28431754DIA3004-KOR--Approval (v1.0)</v>
      </c>
      <c r="G380" s="8" t="s">
        <v>546</v>
      </c>
      <c r="H380" s="9" t="str">
        <f aca="false">HYPERLINK("https://vtmf.veevavault.com/ui/#doc_info/1744819/1/0", "EDMS-GCO-47508861")</f>
        <v>EDMS-GCO-47508861</v>
      </c>
    </row>
    <row r="381" customFormat="false" ht="14.25" hidden="false" customHeight="true" outlineLevel="0" collapsed="false">
      <c r="E381" s="8" t="s">
        <v>132</v>
      </c>
      <c r="F381" s="9" t="str">
        <f aca="false">HYPERLINK("https://vtmf.veevavault.com/ui/#doc_info/1744827/1/0", "28431754DIA3004-KOR--Approval (v1.0)")</f>
        <v>28431754DIA3004-KOR--Approval (v1.0)</v>
      </c>
      <c r="G381" s="8" t="s">
        <v>547</v>
      </c>
      <c r="H381" s="9" t="str">
        <f aca="false">HYPERLINK("https://vtmf.veevavault.com/ui/#doc_info/1744827/1/0", "EDMS-GCO-47508862")</f>
        <v>EDMS-GCO-47508862</v>
      </c>
    </row>
    <row r="382" customFormat="false" ht="14.25" hidden="false" customHeight="true" outlineLevel="0" collapsed="false">
      <c r="E382" s="8" t="s">
        <v>132</v>
      </c>
      <c r="F382" s="9" t="str">
        <f aca="false">HYPERLINK("https://vtmf.veevavault.com/ui/#doc_info/1746261/1/0", "28431754DIA3004-KOR--Approval (v1.0)")</f>
        <v>28431754DIA3004-KOR--Approval (v1.0)</v>
      </c>
      <c r="G382" s="8" t="s">
        <v>548</v>
      </c>
      <c r="H382" s="9" t="str">
        <f aca="false">HYPERLINK("https://vtmf.veevavault.com/ui/#doc_info/1746261/1/0", "EDMS-GCO-47711900")</f>
        <v>EDMS-GCO-47711900</v>
      </c>
    </row>
    <row r="383" customFormat="false" ht="14.25" hidden="false" customHeight="true" outlineLevel="0" collapsed="false">
      <c r="E383" s="8" t="s">
        <v>132</v>
      </c>
      <c r="F383" s="9" t="str">
        <f aca="false">HYPERLINK("https://vtmf.veevavault.com/ui/#doc_info/1746279/1/0", "28431754DIA3004-KOR--Approval (v1.0)")</f>
        <v>28431754DIA3004-KOR--Approval (v1.0)</v>
      </c>
      <c r="G383" s="8" t="s">
        <v>549</v>
      </c>
      <c r="H383" s="9" t="str">
        <f aca="false">HYPERLINK("https://vtmf.veevavault.com/ui/#doc_info/1746279/1/0", "EDMS-GCO-47711904")</f>
        <v>EDMS-GCO-47711904</v>
      </c>
    </row>
    <row r="384" customFormat="false" ht="14.25" hidden="false" customHeight="true" outlineLevel="0" collapsed="false">
      <c r="E384" s="8" t="s">
        <v>132</v>
      </c>
      <c r="F384" s="9" t="str">
        <f aca="false">HYPERLINK("https://vtmf.veevavault.com/ui/#doc_info/1760406/1/0", "28431754DIA3004-KOR--Approval (v1.0)")</f>
        <v>28431754DIA3004-KOR--Approval (v1.0)</v>
      </c>
      <c r="G384" s="8" t="s">
        <v>550</v>
      </c>
      <c r="H384" s="9" t="str">
        <f aca="false">HYPERLINK("https://vtmf.veevavault.com/ui/#doc_info/1760406/1/0", "EDMS-GCO-49865221")</f>
        <v>EDMS-GCO-49865221</v>
      </c>
    </row>
    <row r="385" customFormat="false" ht="14.25" hidden="false" customHeight="true" outlineLevel="0" collapsed="false">
      <c r="E385" s="8" t="s">
        <v>132</v>
      </c>
      <c r="F385" s="9" t="str">
        <f aca="false">HYPERLINK("https://vtmf.veevavault.com/ui/#doc_info/1800186/1/0", "28431754DIA3004-KOR--Approval (v1.0)")</f>
        <v>28431754DIA3004-KOR--Approval (v1.0)</v>
      </c>
      <c r="G385" s="8" t="s">
        <v>551</v>
      </c>
      <c r="H385" s="9" t="str">
        <f aca="false">HYPERLINK("https://vtmf.veevavault.com/ui/#doc_info/1800186/1/0", "EDMS-GCO-60102776")</f>
        <v>EDMS-GCO-60102776</v>
      </c>
    </row>
    <row r="386" customFormat="false" ht="14.25" hidden="false" customHeight="true" outlineLevel="0" collapsed="false">
      <c r="E386" s="8" t="s">
        <v>132</v>
      </c>
      <c r="F386" s="9" t="str">
        <f aca="false">HYPERLINK("https://vtmf.veevavault.com/ui/#doc_info/232671/1/0", "28431754DIA3005-KOR--Approval (v1.0)")</f>
        <v>28431754DIA3005-KOR--Approval (v1.0)</v>
      </c>
      <c r="G386" s="8" t="s">
        <v>552</v>
      </c>
      <c r="H386" s="9" t="str">
        <f aca="false">HYPERLINK("https://vtmf.veevavault.com/ui/#doc_info/232671/1/0", "EDMS-GCO-12692520")</f>
        <v>EDMS-GCO-12692520</v>
      </c>
    </row>
    <row r="387" customFormat="false" ht="14.25" hidden="false" customHeight="true" outlineLevel="0" collapsed="false">
      <c r="E387" s="8" t="s">
        <v>132</v>
      </c>
      <c r="F387" s="9" t="str">
        <f aca="false">HYPERLINK("https://vtmf.veevavault.com/ui/#doc_info/232681/1/0", "28431754DIA3005-KOR--Approval (v1.0)")</f>
        <v>28431754DIA3005-KOR--Approval (v1.0)</v>
      </c>
      <c r="G387" s="8" t="s">
        <v>553</v>
      </c>
      <c r="H387" s="9" t="str">
        <f aca="false">HYPERLINK("https://vtmf.veevavault.com/ui/#doc_info/232681/1/0", "EDMS-GCO-12692524")</f>
        <v>EDMS-GCO-12692524</v>
      </c>
    </row>
    <row r="388" customFormat="false" ht="14.25" hidden="false" customHeight="true" outlineLevel="0" collapsed="false">
      <c r="E388" s="8" t="s">
        <v>132</v>
      </c>
      <c r="F388" s="9" t="str">
        <f aca="false">HYPERLINK("https://vtmf.veevavault.com/ui/#doc_info/271980/1/0", "28431754DIA3005-KOR--Approval (v1.0)")</f>
        <v>28431754DIA3005-KOR--Approval (v1.0)</v>
      </c>
      <c r="G388" s="8" t="s">
        <v>554</v>
      </c>
      <c r="H388" s="9" t="str">
        <f aca="false">HYPERLINK("https://vtmf.veevavault.com/ui/#doc_info/271980/1/0", "EDMS-GCO-18446383")</f>
        <v>EDMS-GCO-18446383</v>
      </c>
    </row>
    <row r="389" customFormat="false" ht="14.25" hidden="false" customHeight="true" outlineLevel="0" collapsed="false">
      <c r="E389" s="8" t="s">
        <v>132</v>
      </c>
      <c r="F389" s="9" t="str">
        <f aca="false">HYPERLINK("https://vtmf.veevavault.com/ui/#doc_info/274440/1/0", "28431754DIA3005-KOR--Approval (v1.0)")</f>
        <v>28431754DIA3005-KOR--Approval (v1.0)</v>
      </c>
      <c r="G389" s="8" t="s">
        <v>555</v>
      </c>
      <c r="H389" s="9" t="str">
        <f aca="false">HYPERLINK("https://vtmf.veevavault.com/ui/#doc_info/274440/1/0", "EDMS-GCO-19356002")</f>
        <v>EDMS-GCO-19356002</v>
      </c>
    </row>
    <row r="390" customFormat="false" ht="14.25" hidden="false" customHeight="true" outlineLevel="0" collapsed="false">
      <c r="E390" s="8" t="s">
        <v>132</v>
      </c>
      <c r="F390" s="9" t="str">
        <f aca="false">HYPERLINK("https://vtmf.veevavault.com/ui/#doc_info/289504/1/0", "28431754DIA3005-KOR--Approval (v1.0)")</f>
        <v>28431754DIA3005-KOR--Approval (v1.0)</v>
      </c>
      <c r="G390" s="8" t="s">
        <v>556</v>
      </c>
      <c r="H390" s="9" t="str">
        <f aca="false">HYPERLINK("https://vtmf.veevavault.com/ui/#doc_info/289504/1/0", "EDMS-GCO-21088311")</f>
        <v>EDMS-GCO-21088311</v>
      </c>
    </row>
    <row r="391" customFormat="false" ht="14.25" hidden="false" customHeight="true" outlineLevel="0" collapsed="false">
      <c r="E391" s="8" t="s">
        <v>132</v>
      </c>
      <c r="F391" s="9" t="str">
        <f aca="false">HYPERLINK("https://vtmf.veevavault.com/ui/#doc_info/291187/1/0", "28431754DIA3005-KOR--Approval (v1.0)")</f>
        <v>28431754DIA3005-KOR--Approval (v1.0)</v>
      </c>
      <c r="G391" s="8" t="s">
        <v>557</v>
      </c>
      <c r="H391" s="9" t="str">
        <f aca="false">HYPERLINK("https://vtmf.veevavault.com/ui/#doc_info/291187/1/0", "EDMS-GCO-21253394")</f>
        <v>EDMS-GCO-21253394</v>
      </c>
    </row>
    <row r="392" customFormat="false" ht="14.25" hidden="false" customHeight="true" outlineLevel="0" collapsed="false">
      <c r="E392" s="8" t="s">
        <v>132</v>
      </c>
      <c r="F392" s="9" t="str">
        <f aca="false">HYPERLINK("https://vtmf.veevavault.com/ui/#doc_info/291200/1/0", "28431754DIA3005-KOR--Approval (v1.0)")</f>
        <v>28431754DIA3005-KOR--Approval (v1.0)</v>
      </c>
      <c r="G392" s="8" t="s">
        <v>558</v>
      </c>
      <c r="H392" s="9" t="str">
        <f aca="false">HYPERLINK("https://vtmf.veevavault.com/ui/#doc_info/291200/1/0", "EDMS-GCO-21253420")</f>
        <v>EDMS-GCO-21253420</v>
      </c>
    </row>
    <row r="393" customFormat="false" ht="14.25" hidden="false" customHeight="true" outlineLevel="0" collapsed="false">
      <c r="E393" s="8" t="s">
        <v>132</v>
      </c>
      <c r="F393" s="9" t="str">
        <f aca="false">HYPERLINK("https://vtmf.veevavault.com/ui/#doc_info/291211/1/0", "28431754DIA3005-KOR--Approval (v1.0)")</f>
        <v>28431754DIA3005-KOR--Approval (v1.0)</v>
      </c>
      <c r="G393" s="8" t="s">
        <v>559</v>
      </c>
      <c r="H393" s="9" t="str">
        <f aca="false">HYPERLINK("https://vtmf.veevavault.com/ui/#doc_info/291211/1/0", "EDMS-GCO-21253422")</f>
        <v>EDMS-GCO-21253422</v>
      </c>
    </row>
    <row r="394" customFormat="false" ht="14.25" hidden="false" customHeight="true" outlineLevel="0" collapsed="false">
      <c r="E394" s="8" t="s">
        <v>132</v>
      </c>
      <c r="F394" s="9" t="str">
        <f aca="false">HYPERLINK("https://vtmf.veevavault.com/ui/#doc_info/291219/1/0", "28431754DIA3005-KOR--Approval (v1.0)")</f>
        <v>28431754DIA3005-KOR--Approval (v1.0)</v>
      </c>
      <c r="G394" s="8" t="s">
        <v>560</v>
      </c>
      <c r="H394" s="9" t="str">
        <f aca="false">HYPERLINK("https://vtmf.veevavault.com/ui/#doc_info/291219/1/0", "EDMS-GCO-21253424")</f>
        <v>EDMS-GCO-21253424</v>
      </c>
    </row>
    <row r="395" customFormat="false" ht="14.25" hidden="false" customHeight="true" outlineLevel="0" collapsed="false">
      <c r="E395" s="8" t="s">
        <v>132</v>
      </c>
      <c r="F395" s="9" t="str">
        <f aca="false">HYPERLINK("https://vtmf.veevavault.com/ui/#doc_info/291226/1/0", "28431754DIA3005-KOR--Approval (v1.0)")</f>
        <v>28431754DIA3005-KOR--Approval (v1.0)</v>
      </c>
      <c r="G395" s="8" t="s">
        <v>561</v>
      </c>
      <c r="H395" s="9" t="str">
        <f aca="false">HYPERLINK("https://vtmf.veevavault.com/ui/#doc_info/291226/1/0", "EDMS-GCO-21253426")</f>
        <v>EDMS-GCO-21253426</v>
      </c>
    </row>
    <row r="396" customFormat="false" ht="14.25" hidden="false" customHeight="true" outlineLevel="0" collapsed="false">
      <c r="E396" s="8" t="s">
        <v>132</v>
      </c>
      <c r="F396" s="9" t="str">
        <f aca="false">HYPERLINK("https://vtmf.veevavault.com/ui/#doc_info/291323/1/0", "28431754DIA3005-KOR--Approval (v1.0)")</f>
        <v>28431754DIA3005-KOR--Approval (v1.0)</v>
      </c>
      <c r="G396" s="8" t="s">
        <v>562</v>
      </c>
      <c r="H396" s="9" t="str">
        <f aca="false">HYPERLINK("https://vtmf.veevavault.com/ui/#doc_info/291323/1/0", "EDMS-GCO-21254582")</f>
        <v>EDMS-GCO-21254582</v>
      </c>
    </row>
    <row r="397" customFormat="false" ht="14.25" hidden="false" customHeight="true" outlineLevel="0" collapsed="false">
      <c r="E397" s="8" t="s">
        <v>132</v>
      </c>
      <c r="F397" s="9" t="str">
        <f aca="false">HYPERLINK("https://vtmf.veevavault.com/ui/#doc_info/293562/1/0", "28431754DIA3005-KOR--Approval (v1.0)")</f>
        <v>28431754DIA3005-KOR--Approval (v1.0)</v>
      </c>
      <c r="G397" s="8" t="s">
        <v>563</v>
      </c>
      <c r="H397" s="9" t="str">
        <f aca="false">HYPERLINK("https://vtmf.veevavault.com/ui/#doc_info/293562/1/0", "EDMS-GCO-21456198")</f>
        <v>EDMS-GCO-21456198</v>
      </c>
    </row>
    <row r="398" customFormat="false" ht="14.25" hidden="false" customHeight="true" outlineLevel="0" collapsed="false">
      <c r="E398" s="8" t="s">
        <v>132</v>
      </c>
      <c r="F398" s="9" t="str">
        <f aca="false">HYPERLINK("https://vtmf.veevavault.com/ui/#doc_info/327020/1/0", "28431754DIA3005-KOR--Approval (v1.0)")</f>
        <v>28431754DIA3005-KOR--Approval (v1.0)</v>
      </c>
      <c r="G398" s="8" t="s">
        <v>564</v>
      </c>
      <c r="H398" s="9" t="str">
        <f aca="false">HYPERLINK("https://vtmf.veevavault.com/ui/#doc_info/327020/1/0", "EDMS-GCO-23998170")</f>
        <v>EDMS-GCO-23998170</v>
      </c>
    </row>
    <row r="399" customFormat="false" ht="14.25" hidden="false" customHeight="true" outlineLevel="0" collapsed="false">
      <c r="E399" s="8" t="s">
        <v>132</v>
      </c>
      <c r="F399" s="9" t="str">
        <f aca="false">HYPERLINK("https://vtmf.veevavault.com/ui/#doc_info/333071/1/0", "28431754DIA3005-KOR--Approval (v1.0)")</f>
        <v>28431754DIA3005-KOR--Approval (v1.0)</v>
      </c>
      <c r="G399" s="8" t="s">
        <v>565</v>
      </c>
      <c r="H399" s="9" t="str">
        <f aca="false">HYPERLINK("https://vtmf.veevavault.com/ui/#doc_info/333071/1/0", "EDMS-GCO-24731433")</f>
        <v>EDMS-GCO-24731433</v>
      </c>
    </row>
    <row r="400" customFormat="false" ht="14.25" hidden="false" customHeight="true" outlineLevel="0" collapsed="false">
      <c r="E400" s="8" t="s">
        <v>132</v>
      </c>
      <c r="F400" s="9" t="str">
        <f aca="false">HYPERLINK("https://vtmf.veevavault.com/ui/#doc_info/435930/1/0", "28431754DIA3005-KOR--Approval (v1.0)")</f>
        <v>28431754DIA3005-KOR--Approval (v1.0)</v>
      </c>
      <c r="G400" s="8" t="s">
        <v>566</v>
      </c>
      <c r="H400" s="9" t="str">
        <f aca="false">HYPERLINK("https://vtmf.veevavault.com/ui/#doc_info/435930/1/0", "EDMS-GCO-37729555")</f>
        <v>EDMS-GCO-37729555</v>
      </c>
    </row>
    <row r="401" customFormat="false" ht="14.25" hidden="false" customHeight="true" outlineLevel="0" collapsed="false">
      <c r="E401" s="8" t="s">
        <v>132</v>
      </c>
      <c r="F401" s="9" t="str">
        <f aca="false">HYPERLINK("https://vtmf.veevavault.com/ui/#doc_info/447304/1/0", "28431754DIA3005-KOR--Approval (v1.0)")</f>
        <v>28431754DIA3005-KOR--Approval (v1.0)</v>
      </c>
      <c r="G401" s="8" t="s">
        <v>567</v>
      </c>
      <c r="H401" s="9" t="str">
        <f aca="false">HYPERLINK("https://vtmf.veevavault.com/ui/#doc_info/447304/1/0", "EDMS-GCO-40971547")</f>
        <v>EDMS-GCO-40971547</v>
      </c>
    </row>
    <row r="402" customFormat="false" ht="14.25" hidden="false" customHeight="true" outlineLevel="0" collapsed="false">
      <c r="E402" s="8" t="s">
        <v>132</v>
      </c>
      <c r="F402" s="9" t="str">
        <f aca="false">HYPERLINK("https://vtmf.veevavault.com/ui/#doc_info/472929/1/0", "28431754DIA3005-KOR--Approval (v1.0)")</f>
        <v>28431754DIA3005-KOR--Approval (v1.0)</v>
      </c>
      <c r="G402" s="8" t="s">
        <v>568</v>
      </c>
      <c r="H402" s="9" t="str">
        <f aca="false">HYPERLINK("https://vtmf.veevavault.com/ui/#doc_info/472929/1/0", "EDMS-GCO-44571084")</f>
        <v>EDMS-GCO-44571084</v>
      </c>
    </row>
    <row r="403" customFormat="false" ht="14.25" hidden="false" customHeight="true" outlineLevel="0" collapsed="false">
      <c r="E403" s="8" t="s">
        <v>132</v>
      </c>
      <c r="F403" s="9" t="str">
        <f aca="false">HYPERLINK("https://vtmf.veevavault.com/ui/#doc_info/472943/1/0", "28431754DIA3005-KOR--Approval (v1.0)")</f>
        <v>28431754DIA3005-KOR--Approval (v1.0)</v>
      </c>
      <c r="G403" s="8" t="s">
        <v>569</v>
      </c>
      <c r="H403" s="9" t="str">
        <f aca="false">HYPERLINK("https://vtmf.veevavault.com/ui/#doc_info/472943/1/0", "EDMS-GCO-44571085")</f>
        <v>EDMS-GCO-44571085</v>
      </c>
    </row>
    <row r="404" customFormat="false" ht="14.25" hidden="false" customHeight="true" outlineLevel="0" collapsed="false">
      <c r="E404" s="8" t="s">
        <v>132</v>
      </c>
      <c r="F404" s="9" t="str">
        <f aca="false">HYPERLINK("https://vtmf.veevavault.com/ui/#doc_info/550087/1/0", "28431754DIA3005-KOR--Approval (v1.0)")</f>
        <v>28431754DIA3005-KOR--Approval (v1.0)</v>
      </c>
      <c r="G404" s="8" t="s">
        <v>570</v>
      </c>
      <c r="H404" s="9" t="str">
        <f aca="false">HYPERLINK("https://vtmf.veevavault.com/ui/#doc_info/550087/1/0", "EDMS-GCO-52617566")</f>
        <v>EDMS-GCO-52617566</v>
      </c>
    </row>
    <row r="405" customFormat="false" ht="14.25" hidden="false" customHeight="true" outlineLevel="0" collapsed="false">
      <c r="E405" s="8" t="s">
        <v>132</v>
      </c>
      <c r="F405" s="9" t="str">
        <f aca="false">HYPERLINK("https://vtmf.veevavault.com/ui/#doc_info/550131/1/0", "28431754DIA3005-KOR--Approval (v1.0)")</f>
        <v>28431754DIA3005-KOR--Approval (v1.0)</v>
      </c>
      <c r="G405" s="8" t="s">
        <v>571</v>
      </c>
      <c r="H405" s="9" t="str">
        <f aca="false">HYPERLINK("https://vtmf.veevavault.com/ui/#doc_info/550131/1/0", "EDMS-GCO-52618360")</f>
        <v>EDMS-GCO-52618360</v>
      </c>
    </row>
    <row r="406" customFormat="false" ht="14.25" hidden="false" customHeight="true" outlineLevel="0" collapsed="false">
      <c r="E406" s="8" t="s">
        <v>132</v>
      </c>
      <c r="F406" s="9" t="str">
        <f aca="false">HYPERLINK("https://vtmf.veevavault.com/ui/#doc_info/550140/1/0", "28431754DIA3005-KOR--Approval (v1.0)")</f>
        <v>28431754DIA3005-KOR--Approval (v1.0)</v>
      </c>
      <c r="G406" s="8" t="s">
        <v>572</v>
      </c>
      <c r="H406" s="9" t="str">
        <f aca="false">HYPERLINK("https://vtmf.veevavault.com/ui/#doc_info/550140/1/0", "EDMS-GCO-52618361")</f>
        <v>EDMS-GCO-52618361</v>
      </c>
    </row>
    <row r="407" customFormat="false" ht="14.25" hidden="false" customHeight="true" outlineLevel="0" collapsed="false">
      <c r="E407" s="8" t="s">
        <v>132</v>
      </c>
      <c r="F407" s="9" t="str">
        <f aca="false">HYPERLINK("https://vtmf.veevavault.com/ui/#doc_info/563506/1/0", "28431754DIA3005-KOR--Approval (v1.0)")</f>
        <v>28431754DIA3005-KOR--Approval (v1.0)</v>
      </c>
      <c r="G407" s="8" t="s">
        <v>573</v>
      </c>
      <c r="H407" s="9" t="str">
        <f aca="false">HYPERLINK("https://vtmf.veevavault.com/ui/#doc_info/563506/1/0", "EDMS-GCO-59018076")</f>
        <v>EDMS-GCO-59018076</v>
      </c>
    </row>
    <row r="408" customFormat="false" ht="14.25" hidden="false" customHeight="true" outlineLevel="0" collapsed="false">
      <c r="E408" s="8" t="s">
        <v>132</v>
      </c>
      <c r="F408" s="9" t="str">
        <f aca="false">HYPERLINK("https://vtmf.veevavault.com/ui/#doc_info/2578790/1/0", "28431754DIA3009-KOR--Approval (v1.0)")</f>
        <v>28431754DIA3009-KOR--Approval (v1.0)</v>
      </c>
      <c r="G408" s="8" t="s">
        <v>574</v>
      </c>
      <c r="H408" s="9" t="str">
        <f aca="false">HYPERLINK("https://vtmf.veevavault.com/ui/#doc_info/2578790/1/0", "EDMS-GCO-15604356")</f>
        <v>EDMS-GCO-15604356</v>
      </c>
    </row>
    <row r="409" customFormat="false" ht="14.25" hidden="false" customHeight="true" outlineLevel="0" collapsed="false">
      <c r="E409" s="8" t="s">
        <v>132</v>
      </c>
      <c r="F409" s="9" t="str">
        <f aca="false">HYPERLINK("https://vtmf.veevavault.com/ui/#doc_info/2635936/1/0", "28431754DIA3009-KOR--Approval (v1.0)")</f>
        <v>28431754DIA3009-KOR--Approval (v1.0)</v>
      </c>
      <c r="G409" s="8" t="s">
        <v>575</v>
      </c>
      <c r="H409" s="9" t="str">
        <f aca="false">HYPERLINK("https://vtmf.veevavault.com/ui/#doc_info/2635936/1/0", "EDMS-GCO-69278458")</f>
        <v>EDMS-GCO-69278458</v>
      </c>
    </row>
    <row r="410" customFormat="false" ht="14.25" hidden="false" customHeight="true" outlineLevel="0" collapsed="false">
      <c r="E410" s="8" t="s">
        <v>132</v>
      </c>
      <c r="F410" s="9" t="str">
        <f aca="false">HYPERLINK("https://vtmf.veevavault.com/ui/#doc_info/2639558/1/0", "28431754DIA3009-KOR--Approval (v1.0)")</f>
        <v>28431754DIA3009-KOR--Approval (v1.0)</v>
      </c>
      <c r="G410" s="8" t="s">
        <v>576</v>
      </c>
      <c r="H410" s="9" t="str">
        <f aca="false">HYPERLINK("https://vtmf.veevavault.com/ui/#doc_info/2639558/1/0", "EDMS-GCO-70190035")</f>
        <v>EDMS-GCO-70190035</v>
      </c>
    </row>
    <row r="411" customFormat="false" ht="14.25" hidden="false" customHeight="true" outlineLevel="0" collapsed="false">
      <c r="E411" s="8" t="s">
        <v>132</v>
      </c>
      <c r="F411" s="9" t="str">
        <f aca="false">HYPERLINK("https://vtmf.veevavault.com/ui/#doc_info/2639568/1/0", "28431754DIA3009-KOR--Approval (v1.0)")</f>
        <v>28431754DIA3009-KOR--Approval (v1.0)</v>
      </c>
      <c r="G411" s="8" t="s">
        <v>577</v>
      </c>
      <c r="H411" s="9" t="str">
        <f aca="false">HYPERLINK("https://vtmf.veevavault.com/ui/#doc_info/2639568/1/0", "EDMS-GCO-70190066")</f>
        <v>EDMS-GCO-70190066</v>
      </c>
    </row>
    <row r="412" customFormat="false" ht="14.25" hidden="false" customHeight="true" outlineLevel="0" collapsed="false">
      <c r="E412" s="8" t="s">
        <v>132</v>
      </c>
      <c r="F412" s="9" t="str">
        <f aca="false">HYPERLINK("https://vtmf.veevavault.com/ui/#doc_info/2639578/1/0", "28431754DIA3009-KOR--Approval (v1.0)")</f>
        <v>28431754DIA3009-KOR--Approval (v1.0)</v>
      </c>
      <c r="G412" s="8" t="s">
        <v>578</v>
      </c>
      <c r="H412" s="9" t="str">
        <f aca="false">HYPERLINK("https://vtmf.veevavault.com/ui/#doc_info/2639578/1/0", "EDMS-GCO-70190067")</f>
        <v>EDMS-GCO-70190067</v>
      </c>
    </row>
    <row r="413" customFormat="false" ht="14.25" hidden="false" customHeight="true" outlineLevel="0" collapsed="false">
      <c r="E413" s="8" t="s">
        <v>132</v>
      </c>
      <c r="F413" s="9" t="str">
        <f aca="false">HYPERLINK("https://vtmf.veevavault.com/ui/#doc_info/2639589/1/0", "28431754DIA3009-KOR--Approval (v1.0)")</f>
        <v>28431754DIA3009-KOR--Approval (v1.0)</v>
      </c>
      <c r="G413" s="8" t="s">
        <v>579</v>
      </c>
      <c r="H413" s="9" t="str">
        <f aca="false">HYPERLINK("https://vtmf.veevavault.com/ui/#doc_info/2639589/1/0", "EDMS-GCO-70190068")</f>
        <v>EDMS-GCO-70190068</v>
      </c>
    </row>
    <row r="414" customFormat="false" ht="14.25" hidden="false" customHeight="true" outlineLevel="0" collapsed="false">
      <c r="E414" s="8" t="s">
        <v>132</v>
      </c>
      <c r="F414" s="9" t="str">
        <f aca="false">HYPERLINK("https://vtmf.veevavault.com/ui/#doc_info/2639598/1/0", "28431754DIA3009-KOR--Approval (v1.0)")</f>
        <v>28431754DIA3009-KOR--Approval (v1.0)</v>
      </c>
      <c r="G414" s="8" t="s">
        <v>580</v>
      </c>
      <c r="H414" s="9" t="str">
        <f aca="false">HYPERLINK("https://vtmf.veevavault.com/ui/#doc_info/2639598/1/0", "EDMS-GCO-70190069")</f>
        <v>EDMS-GCO-70190069</v>
      </c>
    </row>
    <row r="415" customFormat="false" ht="14.25" hidden="false" customHeight="true" outlineLevel="0" collapsed="false">
      <c r="E415" s="8" t="s">
        <v>132</v>
      </c>
      <c r="F415" s="9" t="str">
        <f aca="false">HYPERLINK("https://vtmf.veevavault.com/ui/#doc_info/2639607/1/0", "28431754DIA3009-KOR--Approval (v1.0)")</f>
        <v>28431754DIA3009-KOR--Approval (v1.0)</v>
      </c>
      <c r="G415" s="8" t="s">
        <v>581</v>
      </c>
      <c r="H415" s="9" t="str">
        <f aca="false">HYPERLINK("https://vtmf.veevavault.com/ui/#doc_info/2639607/1/0", "EDMS-GCO-70190070")</f>
        <v>EDMS-GCO-70190070</v>
      </c>
    </row>
    <row r="416" customFormat="false" ht="14.25" hidden="false" customHeight="true" outlineLevel="0" collapsed="false">
      <c r="E416" s="8" t="s">
        <v>132</v>
      </c>
      <c r="F416" s="9" t="str">
        <f aca="false">HYPERLINK("https://vtmf.veevavault.com/ui/#doc_info/2639621/1/0", "28431754DIA3009-KOR--Approval (v1.0)")</f>
        <v>28431754DIA3009-KOR--Approval (v1.0)</v>
      </c>
      <c r="G416" s="8" t="s">
        <v>582</v>
      </c>
      <c r="H416" s="9" t="str">
        <f aca="false">HYPERLINK("https://vtmf.veevavault.com/ui/#doc_info/2639621/1/0", "EDMS-GCO-70190071")</f>
        <v>EDMS-GCO-70190071</v>
      </c>
    </row>
    <row r="417" customFormat="false" ht="14.25" hidden="false" customHeight="true" outlineLevel="0" collapsed="false">
      <c r="E417" s="8" t="s">
        <v>132</v>
      </c>
      <c r="F417" s="9" t="str">
        <f aca="false">HYPERLINK("https://vtmf.veevavault.com/ui/#doc_info/2639637/1/0", "28431754DIA3009-KOR--Approval (v1.0)")</f>
        <v>28431754DIA3009-KOR--Approval (v1.0)</v>
      </c>
      <c r="G417" s="8" t="s">
        <v>583</v>
      </c>
      <c r="H417" s="9" t="str">
        <f aca="false">HYPERLINK("https://vtmf.veevavault.com/ui/#doc_info/2639637/1/0", "EDMS-GCO-70190072")</f>
        <v>EDMS-GCO-70190072</v>
      </c>
    </row>
    <row r="418" customFormat="false" ht="14.25" hidden="false" customHeight="true" outlineLevel="0" collapsed="false">
      <c r="E418" s="8" t="s">
        <v>132</v>
      </c>
      <c r="F418" s="9" t="str">
        <f aca="false">HYPERLINK("https://vtmf.veevavault.com/ui/#doc_info/2639647/1/0", "28431754DIA3009-KOR--Approval (v1.0)")</f>
        <v>28431754DIA3009-KOR--Approval (v1.0)</v>
      </c>
      <c r="G418" s="8" t="s">
        <v>584</v>
      </c>
      <c r="H418" s="9" t="str">
        <f aca="false">HYPERLINK("https://vtmf.veevavault.com/ui/#doc_info/2639647/1/0", "EDMS-GCO-70190073")</f>
        <v>EDMS-GCO-70190073</v>
      </c>
    </row>
    <row r="419" customFormat="false" ht="14.25" hidden="false" customHeight="true" outlineLevel="0" collapsed="false">
      <c r="E419" s="8" t="s">
        <v>132</v>
      </c>
      <c r="F419" s="9" t="str">
        <f aca="false">HYPERLINK("https://vtmf.veevavault.com/ui/#doc_info/2639655/1/0", "28431754DIA3009-KOR--Approval (v1.0)")</f>
        <v>28431754DIA3009-KOR--Approval (v1.0)</v>
      </c>
      <c r="G419" s="8" t="s">
        <v>585</v>
      </c>
      <c r="H419" s="9" t="str">
        <f aca="false">HYPERLINK("https://vtmf.veevavault.com/ui/#doc_info/2639655/1/0", "EDMS-GCO-70190075")</f>
        <v>EDMS-GCO-70190075</v>
      </c>
    </row>
    <row r="420" customFormat="false" ht="14.25" hidden="false" customHeight="true" outlineLevel="0" collapsed="false">
      <c r="E420" s="8" t="s">
        <v>132</v>
      </c>
      <c r="F420" s="9" t="str">
        <f aca="false">HYPERLINK("https://vtmf.veevavault.com/ui/#doc_info/2639667/1/0", "28431754DIA3009-KOR--Approval (v1.0)")</f>
        <v>28431754DIA3009-KOR--Approval (v1.0)</v>
      </c>
      <c r="G420" s="8" t="s">
        <v>586</v>
      </c>
      <c r="H420" s="9" t="str">
        <f aca="false">HYPERLINK("https://vtmf.veevavault.com/ui/#doc_info/2639667/1/0", "EDMS-GCO-70190099")</f>
        <v>EDMS-GCO-70190099</v>
      </c>
    </row>
    <row r="421" customFormat="false" ht="14.25" hidden="false" customHeight="true" outlineLevel="0" collapsed="false">
      <c r="E421" s="8" t="s">
        <v>132</v>
      </c>
      <c r="F421" s="9" t="str">
        <f aca="false">HYPERLINK("https://vtmf.veevavault.com/ui/#doc_info/2639677/1/0", "28431754DIA3009-KOR--Approval (v1.0)")</f>
        <v>28431754DIA3009-KOR--Approval (v1.0)</v>
      </c>
      <c r="G421" s="8" t="s">
        <v>587</v>
      </c>
      <c r="H421" s="9" t="str">
        <f aca="false">HYPERLINK("https://vtmf.veevavault.com/ui/#doc_info/2639677/1/0", "EDMS-GCO-70190101")</f>
        <v>EDMS-GCO-70190101</v>
      </c>
    </row>
    <row r="422" customFormat="false" ht="14.25" hidden="false" customHeight="true" outlineLevel="0" collapsed="false">
      <c r="E422" s="8" t="s">
        <v>132</v>
      </c>
      <c r="F422" s="9" t="str">
        <f aca="false">HYPERLINK("https://vtmf.veevavault.com/ui/#doc_info/2639687/1/0", "28431754DIA3009-KOR--Approval (v1.0)")</f>
        <v>28431754DIA3009-KOR--Approval (v1.0)</v>
      </c>
      <c r="G422" s="8" t="s">
        <v>588</v>
      </c>
      <c r="H422" s="9" t="str">
        <f aca="false">HYPERLINK("https://vtmf.veevavault.com/ui/#doc_info/2639687/1/0", "EDMS-GCO-70190103")</f>
        <v>EDMS-GCO-70190103</v>
      </c>
    </row>
    <row r="423" customFormat="false" ht="14.25" hidden="false" customHeight="true" outlineLevel="0" collapsed="false">
      <c r="E423" s="8" t="s">
        <v>132</v>
      </c>
      <c r="F423" s="9" t="str">
        <f aca="false">HYPERLINK("https://vtmf.veevavault.com/ui/#doc_info/2639695/1/0", "28431754DIA3009-KOR--Approval (v1.0)")</f>
        <v>28431754DIA3009-KOR--Approval (v1.0)</v>
      </c>
      <c r="G423" s="8" t="s">
        <v>589</v>
      </c>
      <c r="H423" s="9" t="str">
        <f aca="false">HYPERLINK("https://vtmf.veevavault.com/ui/#doc_info/2639695/1/0", "EDMS-GCO-70190106")</f>
        <v>EDMS-GCO-70190106</v>
      </c>
    </row>
    <row r="424" customFormat="false" ht="14.25" hidden="false" customHeight="true" outlineLevel="0" collapsed="false">
      <c r="E424" s="8" t="s">
        <v>132</v>
      </c>
      <c r="F424" s="9" t="str">
        <f aca="false">HYPERLINK("https://vtmf.veevavault.com/ui/#doc_info/2639703/1/0", "28431754DIA3009-KOR--Approval (v1.0)")</f>
        <v>28431754DIA3009-KOR--Approval (v1.0)</v>
      </c>
      <c r="G424" s="8" t="s">
        <v>590</v>
      </c>
      <c r="H424" s="9" t="str">
        <f aca="false">HYPERLINK("https://vtmf.veevavault.com/ui/#doc_info/2639703/1/0", "EDMS-GCO-70190124")</f>
        <v>EDMS-GCO-70190124</v>
      </c>
    </row>
    <row r="425" customFormat="false" ht="14.25" hidden="false" customHeight="true" outlineLevel="0" collapsed="false">
      <c r="E425" s="8" t="s">
        <v>132</v>
      </c>
      <c r="F425" s="9" t="str">
        <f aca="false">HYPERLINK("https://vtmf.veevavault.com/ui/#doc_info/2639714/1/0", "28431754DIA3009-KOR--Approval (v1.0)")</f>
        <v>28431754DIA3009-KOR--Approval (v1.0)</v>
      </c>
      <c r="G425" s="8" t="s">
        <v>591</v>
      </c>
      <c r="H425" s="9" t="str">
        <f aca="false">HYPERLINK("https://vtmf.veevavault.com/ui/#doc_info/2639714/1/0", "EDMS-GCO-70190125")</f>
        <v>EDMS-GCO-70190125</v>
      </c>
    </row>
    <row r="426" customFormat="false" ht="14.25" hidden="false" customHeight="true" outlineLevel="0" collapsed="false">
      <c r="E426" s="8" t="s">
        <v>132</v>
      </c>
      <c r="F426" s="9" t="str">
        <f aca="false">HYPERLINK("https://vtmf.veevavault.com/ui/#doc_info/2639724/1/0", "28431754DIA3009-KOR--Approval (v1.0)")</f>
        <v>28431754DIA3009-KOR--Approval (v1.0)</v>
      </c>
      <c r="G426" s="8" t="s">
        <v>592</v>
      </c>
      <c r="H426" s="9" t="str">
        <f aca="false">HYPERLINK("https://vtmf.veevavault.com/ui/#doc_info/2639724/1/0", "EDMS-GCO-70190126")</f>
        <v>EDMS-GCO-70190126</v>
      </c>
    </row>
    <row r="427" customFormat="false" ht="14.25" hidden="false" customHeight="true" outlineLevel="0" collapsed="false">
      <c r="E427" s="8" t="s">
        <v>132</v>
      </c>
      <c r="F427" s="9" t="str">
        <f aca="false">HYPERLINK("https://vtmf.veevavault.com/ui/#doc_info/2639732/1/0", "28431754DIA3009-KOR--Approval (v1.0)")</f>
        <v>28431754DIA3009-KOR--Approval (v1.0)</v>
      </c>
      <c r="G427" s="8" t="s">
        <v>593</v>
      </c>
      <c r="H427" s="9" t="str">
        <f aca="false">HYPERLINK("https://vtmf.veevavault.com/ui/#doc_info/2639732/1/0", "EDMS-GCO-70190127")</f>
        <v>EDMS-GCO-70190127</v>
      </c>
    </row>
    <row r="428" customFormat="false" ht="14.25" hidden="false" customHeight="true" outlineLevel="0" collapsed="false">
      <c r="E428" s="8" t="s">
        <v>132</v>
      </c>
      <c r="F428" s="9" t="str">
        <f aca="false">HYPERLINK("https://vtmf.veevavault.com/ui/#doc_info/2639741/1/0", "28431754DIA3009-KOR--Approval (v1.0)")</f>
        <v>28431754DIA3009-KOR--Approval (v1.0)</v>
      </c>
      <c r="G428" s="8" t="s">
        <v>594</v>
      </c>
      <c r="H428" s="9" t="str">
        <f aca="false">HYPERLINK("https://vtmf.veevavault.com/ui/#doc_info/2639741/1/0", "EDMS-GCO-70190128")</f>
        <v>EDMS-GCO-70190128</v>
      </c>
    </row>
    <row r="429" customFormat="false" ht="14.25" hidden="false" customHeight="true" outlineLevel="0" collapsed="false">
      <c r="E429" s="8" t="s">
        <v>132</v>
      </c>
      <c r="F429" s="9" t="str">
        <f aca="false">HYPERLINK("https://vtmf.veevavault.com/ui/#doc_info/2639748/1/0", "28431754DIA3009-KOR--Approval (v1.0)")</f>
        <v>28431754DIA3009-KOR--Approval (v1.0)</v>
      </c>
      <c r="G429" s="8" t="s">
        <v>595</v>
      </c>
      <c r="H429" s="9" t="str">
        <f aca="false">HYPERLINK("https://vtmf.veevavault.com/ui/#doc_info/2639748/1/0", "EDMS-GCO-70190129")</f>
        <v>EDMS-GCO-70190129</v>
      </c>
    </row>
    <row r="430" customFormat="false" ht="14.25" hidden="false" customHeight="true" outlineLevel="0" collapsed="false">
      <c r="E430" s="8" t="s">
        <v>132</v>
      </c>
      <c r="F430" s="9" t="str">
        <f aca="false">HYPERLINK("https://vtmf.veevavault.com/ui/#doc_info/2639755/1/0", "28431754DIA3009-KOR--Approval (v1.0)")</f>
        <v>28431754DIA3009-KOR--Approval (v1.0)</v>
      </c>
      <c r="G430" s="8" t="s">
        <v>596</v>
      </c>
      <c r="H430" s="9" t="str">
        <f aca="false">HYPERLINK("https://vtmf.veevavault.com/ui/#doc_info/2639755/1/0", "EDMS-GCO-70190130")</f>
        <v>EDMS-GCO-70190130</v>
      </c>
    </row>
    <row r="431" customFormat="false" ht="14.25" hidden="false" customHeight="true" outlineLevel="0" collapsed="false">
      <c r="E431" s="8" t="s">
        <v>132</v>
      </c>
      <c r="F431" s="9" t="str">
        <f aca="false">HYPERLINK("https://vtmf.veevavault.com/ui/#doc_info/2639765/1/0", "28431754DIA3009-KOR--Approval (v1.0)")</f>
        <v>28431754DIA3009-KOR--Approval (v1.0)</v>
      </c>
      <c r="G431" s="8" t="s">
        <v>597</v>
      </c>
      <c r="H431" s="9" t="str">
        <f aca="false">HYPERLINK("https://vtmf.veevavault.com/ui/#doc_info/2639765/1/0", "EDMS-GCO-70190131")</f>
        <v>EDMS-GCO-70190131</v>
      </c>
    </row>
    <row r="432" customFormat="false" ht="14.25" hidden="false" customHeight="true" outlineLevel="0" collapsed="false">
      <c r="E432" s="8" t="s">
        <v>132</v>
      </c>
      <c r="F432" s="9" t="str">
        <f aca="false">HYPERLINK("https://vtmf.veevavault.com/ui/#doc_info/2639772/1/0", "28431754DIA3009-KOR--Approval (v1.0)")</f>
        <v>28431754DIA3009-KOR--Approval (v1.0)</v>
      </c>
      <c r="G432" s="8" t="s">
        <v>598</v>
      </c>
      <c r="H432" s="9" t="str">
        <f aca="false">HYPERLINK("https://vtmf.veevavault.com/ui/#doc_info/2639772/1/0", "EDMS-GCO-70190132")</f>
        <v>EDMS-GCO-70190132</v>
      </c>
    </row>
    <row r="433" customFormat="false" ht="14.25" hidden="false" customHeight="true" outlineLevel="0" collapsed="false">
      <c r="E433" s="8" t="s">
        <v>132</v>
      </c>
      <c r="F433" s="9" t="str">
        <f aca="false">HYPERLINK("https://vtmf.veevavault.com/ui/#doc_info/2639781/1/0", "28431754DIA3009-KOR--Approval (v1.0)")</f>
        <v>28431754DIA3009-KOR--Approval (v1.0)</v>
      </c>
      <c r="G433" s="8" t="s">
        <v>599</v>
      </c>
      <c r="H433" s="9" t="str">
        <f aca="false">HYPERLINK("https://vtmf.veevavault.com/ui/#doc_info/2639781/1/0", "EDMS-GCO-70190189")</f>
        <v>EDMS-GCO-70190189</v>
      </c>
    </row>
    <row r="434" customFormat="false" ht="14.25" hidden="false" customHeight="true" outlineLevel="0" collapsed="false">
      <c r="E434" s="8" t="s">
        <v>132</v>
      </c>
      <c r="F434" s="9" t="str">
        <f aca="false">HYPERLINK("https://vtmf.veevavault.com/ui/#doc_info/2639790/1/0", "28431754DIA3009-KOR--Approval (v1.0)")</f>
        <v>28431754DIA3009-KOR--Approval (v1.0)</v>
      </c>
      <c r="G434" s="8" t="s">
        <v>600</v>
      </c>
      <c r="H434" s="9" t="str">
        <f aca="false">HYPERLINK("https://vtmf.veevavault.com/ui/#doc_info/2639790/1/0", "EDMS-GCO-70190190")</f>
        <v>EDMS-GCO-70190190</v>
      </c>
    </row>
    <row r="435" customFormat="false" ht="14.25" hidden="false" customHeight="true" outlineLevel="0" collapsed="false">
      <c r="E435" s="8" t="s">
        <v>132</v>
      </c>
      <c r="F435" s="9" t="str">
        <f aca="false">HYPERLINK("https://vtmf.veevavault.com/ui/#doc_info/2639798/1/0", "28431754DIA3009-KOR--Approval (v1.0)")</f>
        <v>28431754DIA3009-KOR--Approval (v1.0)</v>
      </c>
      <c r="G435" s="8" t="s">
        <v>601</v>
      </c>
      <c r="H435" s="9" t="str">
        <f aca="false">HYPERLINK("https://vtmf.veevavault.com/ui/#doc_info/2639798/1/0", "EDMS-GCO-70190191")</f>
        <v>EDMS-GCO-70190191</v>
      </c>
    </row>
    <row r="436" customFormat="false" ht="14.25" hidden="false" customHeight="true" outlineLevel="0" collapsed="false">
      <c r="E436" s="8" t="s">
        <v>132</v>
      </c>
      <c r="F436" s="9" t="str">
        <f aca="false">HYPERLINK("https://vtmf.veevavault.com/ui/#doc_info/2639807/1/0", "28431754DIA3009-KOR--Approval (v1.0)")</f>
        <v>28431754DIA3009-KOR--Approval (v1.0)</v>
      </c>
      <c r="G436" s="8" t="s">
        <v>602</v>
      </c>
      <c r="H436" s="9" t="str">
        <f aca="false">HYPERLINK("https://vtmf.veevavault.com/ui/#doc_info/2639807/1/0", "EDMS-GCO-70190192")</f>
        <v>EDMS-GCO-70190192</v>
      </c>
    </row>
    <row r="437" customFormat="false" ht="14.25" hidden="false" customHeight="true" outlineLevel="0" collapsed="false">
      <c r="E437" s="8" t="s">
        <v>132</v>
      </c>
      <c r="F437" s="9" t="str">
        <f aca="false">HYPERLINK("https://vtmf.veevavault.com/ui/#doc_info/2639816/1/0", "28431754DIA3009-KOR--Approval (v1.0)")</f>
        <v>28431754DIA3009-KOR--Approval (v1.0)</v>
      </c>
      <c r="G437" s="8" t="s">
        <v>603</v>
      </c>
      <c r="H437" s="9" t="str">
        <f aca="false">HYPERLINK("https://vtmf.veevavault.com/ui/#doc_info/2639816/1/0", "EDMS-GCO-70190193")</f>
        <v>EDMS-GCO-70190193</v>
      </c>
    </row>
    <row r="438" customFormat="false" ht="14.25" hidden="false" customHeight="true" outlineLevel="0" collapsed="false">
      <c r="E438" s="8" t="s">
        <v>132</v>
      </c>
      <c r="F438" s="9" t="str">
        <f aca="false">HYPERLINK("https://vtmf.veevavault.com/ui/#doc_info/2660802/1/0", "28431754DIA3009-KOR--Approval (v1.0)")</f>
        <v>28431754DIA3009-KOR--Approval (v1.0)</v>
      </c>
      <c r="G438" s="8" t="s">
        <v>604</v>
      </c>
      <c r="H438" s="9" t="str">
        <f aca="false">HYPERLINK("https://vtmf.veevavault.com/ui/#doc_info/2660802/1/0", "EDMS-GCO-82470059")</f>
        <v>EDMS-GCO-82470059</v>
      </c>
    </row>
    <row r="439" customFormat="false" ht="14.25" hidden="false" customHeight="true" outlineLevel="0" collapsed="false">
      <c r="E439" s="8" t="s">
        <v>132</v>
      </c>
      <c r="F439" s="9" t="str">
        <f aca="false">HYPERLINK("https://vtmf.veevavault.com/ui/#doc_info/2967161/1/0", "28431754DIA3011-KOR--Approval (v1.0)")</f>
        <v>28431754DIA3011-KOR--Approval (v1.0)</v>
      </c>
      <c r="G439" s="8" t="s">
        <v>605</v>
      </c>
      <c r="H439" s="9" t="str">
        <f aca="false">HYPERLINK("https://vtmf.veevavault.com/ui/#doc_info/2967161/1/0", "EDMS-GCO-94149606")</f>
        <v>EDMS-GCO-94149606</v>
      </c>
    </row>
    <row r="440" customFormat="false" ht="14.25" hidden="false" customHeight="true" outlineLevel="0" collapsed="false">
      <c r="E440" s="8" t="s">
        <v>132</v>
      </c>
      <c r="F440" s="9" t="str">
        <f aca="false">HYPERLINK("https://vtmf.veevavault.com/ui/#doc_info/2967171/1/0", "28431754DIA3011-KOR--Approval (v1.0)")</f>
        <v>28431754DIA3011-KOR--Approval (v1.0)</v>
      </c>
      <c r="G440" s="8" t="s">
        <v>606</v>
      </c>
      <c r="H440" s="9" t="str">
        <f aca="false">HYPERLINK("https://vtmf.veevavault.com/ui/#doc_info/2967171/1/0", "EDMS-GCO-94149607")</f>
        <v>EDMS-GCO-94149607</v>
      </c>
    </row>
    <row r="441" customFormat="false" ht="14.25" hidden="false" customHeight="true" outlineLevel="0" collapsed="false">
      <c r="E441" s="8" t="s">
        <v>132</v>
      </c>
      <c r="F441" s="9" t="str">
        <f aca="false">HYPERLINK("https://vtmf.veevavault.com/ui/#doc_info/2967178/1/0", "28431754DIA3011-KOR--Approval (v1.0)")</f>
        <v>28431754DIA3011-KOR--Approval (v1.0)</v>
      </c>
      <c r="G441" s="8" t="s">
        <v>607</v>
      </c>
      <c r="H441" s="9" t="str">
        <f aca="false">HYPERLINK("https://vtmf.veevavault.com/ui/#doc_info/2967178/1/0", "EDMS-GCO-94149608")</f>
        <v>EDMS-GCO-94149608</v>
      </c>
    </row>
    <row r="442" customFormat="false" ht="14.25" hidden="false" customHeight="true" outlineLevel="0" collapsed="false">
      <c r="E442" s="8" t="s">
        <v>132</v>
      </c>
      <c r="F442" s="9" t="str">
        <f aca="false">HYPERLINK("https://vtmf.veevavault.com/ui/#doc_info/2967188/1/0", "28431754DIA3011-KOR--Approval (v1.0)")</f>
        <v>28431754DIA3011-KOR--Approval (v1.0)</v>
      </c>
      <c r="G442" s="8" t="s">
        <v>608</v>
      </c>
      <c r="H442" s="9" t="str">
        <f aca="false">HYPERLINK("https://vtmf.veevavault.com/ui/#doc_info/2967188/1/0", "EDMS-GCO-94150562")</f>
        <v>EDMS-GCO-94150562</v>
      </c>
    </row>
    <row r="443" customFormat="false" ht="14.25" hidden="false" customHeight="true" outlineLevel="0" collapsed="false">
      <c r="E443" s="8" t="s">
        <v>132</v>
      </c>
      <c r="F443" s="9" t="str">
        <f aca="false">HYPERLINK("https://vtmf.veevavault.com/ui/#doc_info/2967205/1/0", "28431754DIA3011-KOR--Approval (v1.0)")</f>
        <v>28431754DIA3011-KOR--Approval (v1.0)</v>
      </c>
      <c r="G443" s="8" t="s">
        <v>609</v>
      </c>
      <c r="H443" s="9" t="str">
        <f aca="false">HYPERLINK("https://vtmf.veevavault.com/ui/#doc_info/2967205/1/0", "EDMS-GCO-94150563")</f>
        <v>EDMS-GCO-94150563</v>
      </c>
    </row>
    <row r="444" customFormat="false" ht="14.25" hidden="false" customHeight="true" outlineLevel="0" collapsed="false">
      <c r="E444" s="8" t="s">
        <v>132</v>
      </c>
      <c r="F444" s="9" t="str">
        <f aca="false">HYPERLINK("https://vtmf.veevavault.com/ui/#doc_info/2967210/1/0", "28431754DIA3011-KOR--Approval (v1.0)")</f>
        <v>28431754DIA3011-KOR--Approval (v1.0)</v>
      </c>
      <c r="G444" s="8" t="s">
        <v>610</v>
      </c>
      <c r="H444" s="9" t="str">
        <f aca="false">HYPERLINK("https://vtmf.veevavault.com/ui/#doc_info/2967210/1/0", "EDMS-GCO-94150564")</f>
        <v>EDMS-GCO-94150564</v>
      </c>
    </row>
    <row r="445" customFormat="false" ht="14.25" hidden="false" customHeight="true" outlineLevel="0" collapsed="false">
      <c r="E445" s="8" t="s">
        <v>132</v>
      </c>
      <c r="F445" s="9" t="str">
        <f aca="false">HYPERLINK("https://vtmf.veevavault.com/ui/#doc_info/2967221/1/0", "28431754DIA3011-KOR--Approval (v1.0)")</f>
        <v>28431754DIA3011-KOR--Approval (v1.0)</v>
      </c>
      <c r="G445" s="8" t="s">
        <v>611</v>
      </c>
      <c r="H445" s="9" t="str">
        <f aca="false">HYPERLINK("https://vtmf.veevavault.com/ui/#doc_info/2967221/1/0", "EDMS-GCO-94150565")</f>
        <v>EDMS-GCO-94150565</v>
      </c>
    </row>
    <row r="446" customFormat="false" ht="14.25" hidden="false" customHeight="true" outlineLevel="0" collapsed="false">
      <c r="E446" s="8" t="s">
        <v>132</v>
      </c>
      <c r="F446" s="9" t="str">
        <f aca="false">HYPERLINK("https://vtmf.veevavault.com/ui/#doc_info/2967227/1/0", "28431754DIA3011-KOR--Approval (v1.0)")</f>
        <v>28431754DIA3011-KOR--Approval (v1.0)</v>
      </c>
      <c r="G446" s="8" t="s">
        <v>612</v>
      </c>
      <c r="H446" s="9" t="str">
        <f aca="false">HYPERLINK("https://vtmf.veevavault.com/ui/#doc_info/2967227/1/0", "EDMS-GCO-94150566")</f>
        <v>EDMS-GCO-94150566</v>
      </c>
    </row>
    <row r="447" customFormat="false" ht="14.25" hidden="false" customHeight="true" outlineLevel="0" collapsed="false">
      <c r="E447" s="8" t="s">
        <v>132</v>
      </c>
      <c r="F447" s="9" t="str">
        <f aca="false">HYPERLINK("https://vtmf.veevavault.com/ui/#doc_info/2967237/1/0", "28431754DIA3011-KOR--Approval (v1.0)")</f>
        <v>28431754DIA3011-KOR--Approval (v1.0)</v>
      </c>
      <c r="G447" s="8" t="s">
        <v>613</v>
      </c>
      <c r="H447" s="9" t="str">
        <f aca="false">HYPERLINK("https://vtmf.veevavault.com/ui/#doc_info/2967237/1/0", "EDMS-GCO-94150567")</f>
        <v>EDMS-GCO-94150567</v>
      </c>
    </row>
    <row r="448" customFormat="false" ht="14.25" hidden="false" customHeight="true" outlineLevel="0" collapsed="false">
      <c r="E448" s="8" t="s">
        <v>132</v>
      </c>
      <c r="F448" s="9" t="str">
        <f aca="false">HYPERLINK("https://vtmf.veevavault.com/ui/#doc_info/2967244/1/0", "28431754DIA3011-KOR--Approval (v1.0)")</f>
        <v>28431754DIA3011-KOR--Approval (v1.0)</v>
      </c>
      <c r="G448" s="8" t="s">
        <v>614</v>
      </c>
      <c r="H448" s="9" t="str">
        <f aca="false">HYPERLINK("https://vtmf.veevavault.com/ui/#doc_info/2967244/1/0", "EDMS-GCO-94150604")</f>
        <v>EDMS-GCO-94150604</v>
      </c>
    </row>
    <row r="449" customFormat="false" ht="14.25" hidden="false" customHeight="true" outlineLevel="0" collapsed="false">
      <c r="E449" s="8" t="s">
        <v>132</v>
      </c>
      <c r="F449" s="9" t="str">
        <f aca="false">HYPERLINK("https://vtmf.veevavault.com/ui/#doc_info/2974564/1/0", "28431754DIA3011-KOR--Approval (v1.0)")</f>
        <v>28431754DIA3011-KOR--Approval (v1.0)</v>
      </c>
      <c r="G449" s="8" t="s">
        <v>615</v>
      </c>
      <c r="H449" s="9" t="str">
        <f aca="false">HYPERLINK("https://vtmf.veevavault.com/ui/#doc_info/2974564/1/0", "EDMS-GCO-95140292")</f>
        <v>EDMS-GCO-95140292</v>
      </c>
    </row>
    <row r="450" customFormat="false" ht="14.25" hidden="false" customHeight="true" outlineLevel="0" collapsed="false">
      <c r="E450" s="8" t="s">
        <v>132</v>
      </c>
      <c r="F450" s="9" t="str">
        <f aca="false">HYPERLINK("https://vtmf.veevavault.com/ui/#doc_info/3013969/1/0", "28431754DIA3011-KOR--Approval (v1.0)")</f>
        <v>28431754DIA3011-KOR--Approval (v1.0)</v>
      </c>
      <c r="G450" s="8" t="s">
        <v>616</v>
      </c>
      <c r="H450" s="9" t="str">
        <f aca="false">HYPERLINK("https://vtmf.veevavault.com/ui/#doc_info/3013969/1/0", "EDMS-GCO-99430868")</f>
        <v>EDMS-GCO-99430868</v>
      </c>
    </row>
    <row r="451" customFormat="false" ht="14.25" hidden="false" customHeight="true" outlineLevel="0" collapsed="false">
      <c r="E451" s="8" t="s">
        <v>132</v>
      </c>
      <c r="F451" s="9" t="str">
        <f aca="false">HYPERLINK("https://vtmf.veevavault.com/ui/#doc_info/3167935/1/0", "28431754DIA3011-KOR--Approval (v1.0)")</f>
        <v>28431754DIA3011-KOR--Approval (v1.0)</v>
      </c>
      <c r="G451" s="8" t="s">
        <v>617</v>
      </c>
      <c r="H451" s="9" t="str">
        <f aca="false">HYPERLINK("https://vtmf.veevavault.com/ui/#doc_info/3167935/1/0", "EDMS-GCO-61547236")</f>
        <v>EDMS-GCO-61547236</v>
      </c>
    </row>
    <row r="452" customFormat="false" ht="14.25" hidden="false" customHeight="true" outlineLevel="0" collapsed="false">
      <c r="E452" s="8" t="s">
        <v>132</v>
      </c>
      <c r="F452" s="9" t="str">
        <f aca="false">HYPERLINK("https://vtmf.veevavault.com/ui/#doc_info/3183579/1/0", "28431754DIA3011-KOR--Approval (v1.0)")</f>
        <v>28431754DIA3011-KOR--Approval (v1.0)</v>
      </c>
      <c r="G452" s="8" t="s">
        <v>618</v>
      </c>
      <c r="H452" s="9" t="str">
        <f aca="false">HYPERLINK("https://vtmf.veevavault.com/ui/#doc_info/3183579/1/0", "EDMS-GCO-65309612")</f>
        <v>EDMS-GCO-65309612</v>
      </c>
    </row>
    <row r="453" customFormat="false" ht="14.25" hidden="false" customHeight="true" outlineLevel="0" collapsed="false">
      <c r="E453" s="8" t="s">
        <v>132</v>
      </c>
      <c r="F453" s="9" t="str">
        <f aca="false">HYPERLINK("https://vtmf.veevavault.com/ui/#doc_info/3183595/1/0", "28431754DIA3011-KOR--Approval (v1.0)")</f>
        <v>28431754DIA3011-KOR--Approval (v1.0)</v>
      </c>
      <c r="G453" s="8" t="s">
        <v>619</v>
      </c>
      <c r="H453" s="9" t="str">
        <f aca="false">HYPERLINK("https://vtmf.veevavault.com/ui/#doc_info/3183595/1/0", "EDMS-GCO-65310395")</f>
        <v>EDMS-GCO-65310395</v>
      </c>
    </row>
    <row r="454" customFormat="false" ht="14.25" hidden="false" customHeight="true" outlineLevel="0" collapsed="false">
      <c r="E454" s="8" t="s">
        <v>132</v>
      </c>
      <c r="F454" s="9" t="str">
        <f aca="false">HYPERLINK("https://vtmf.veevavault.com/ui/#doc_info/3298554/1/0", "28431754DIA3011-KOR--Approval (v1.0)")</f>
        <v>28431754DIA3011-KOR--Approval (v1.0)</v>
      </c>
      <c r="G454" s="8" t="s">
        <v>620</v>
      </c>
      <c r="H454" s="9" t="str">
        <f aca="false">HYPERLINK("https://vtmf.veevavault.com/ui/#doc_info/3298554/1/0", "EDMS-GCO-81793213")</f>
        <v>EDMS-GCO-81793213</v>
      </c>
    </row>
    <row r="455" customFormat="false" ht="14.25" hidden="false" customHeight="true" outlineLevel="0" collapsed="false">
      <c r="E455" s="8" t="s">
        <v>132</v>
      </c>
      <c r="F455" s="9" t="str">
        <f aca="false">HYPERLINK("https://vtmf.veevavault.com/ui/#doc_info/543976/1/0", "28431754DIA3015-KOR--Approval (v1.0)")</f>
        <v>28431754DIA3015-KOR--Approval (v1.0)</v>
      </c>
      <c r="G455" s="8" t="s">
        <v>621</v>
      </c>
      <c r="H455" s="9" t="str">
        <f aca="false">HYPERLINK("https://vtmf.veevavault.com/ui/#doc_info/543976/1/0", "EDMS-GCO-14501746")</f>
        <v>EDMS-GCO-14501746</v>
      </c>
    </row>
    <row r="456" customFormat="false" ht="14.25" hidden="false" customHeight="true" outlineLevel="0" collapsed="false">
      <c r="E456" s="8" t="s">
        <v>132</v>
      </c>
      <c r="F456" s="9" t="str">
        <f aca="false">HYPERLINK("https://vtmf.veevavault.com/ui/#doc_info/560840/1/0", "28431754DIA3015-KOR--Approval (v1.0)")</f>
        <v>28431754DIA3015-KOR--Approval (v1.0)</v>
      </c>
      <c r="G456" s="8" t="s">
        <v>622</v>
      </c>
      <c r="H456" s="9" t="str">
        <f aca="false">HYPERLINK("https://vtmf.veevavault.com/ui/#doc_info/560840/1/0", "EDMS-GCO-15609170")</f>
        <v>EDMS-GCO-15609170</v>
      </c>
    </row>
    <row r="457" customFormat="false" ht="14.25" hidden="false" customHeight="true" outlineLevel="0" collapsed="false">
      <c r="E457" s="8" t="s">
        <v>132</v>
      </c>
      <c r="F457" s="9" t="str">
        <f aca="false">HYPERLINK("https://vtmf.veevavault.com/ui/#doc_info/563285/1/0", "28431754DIA3015-KOR--Approval (v1.0)")</f>
        <v>28431754DIA3015-KOR--Approval (v1.0)</v>
      </c>
      <c r="G457" s="8" t="s">
        <v>623</v>
      </c>
      <c r="H457" s="9" t="str">
        <f aca="false">HYPERLINK("https://vtmf.veevavault.com/ui/#doc_info/563285/1/0", "EDMS-GCO-16369496")</f>
        <v>EDMS-GCO-16369496</v>
      </c>
    </row>
    <row r="458" customFormat="false" ht="14.25" hidden="false" customHeight="true" outlineLevel="0" collapsed="false">
      <c r="E458" s="8" t="s">
        <v>132</v>
      </c>
      <c r="F458" s="9" t="str">
        <f aca="false">HYPERLINK("https://vtmf.veevavault.com/ui/#doc_info/606440/1/0", "28431754DIA3015-KOR--Approval (v1.0)")</f>
        <v>28431754DIA3015-KOR--Approval (v1.0)</v>
      </c>
      <c r="G458" s="8" t="s">
        <v>624</v>
      </c>
      <c r="H458" s="9" t="str">
        <f aca="false">HYPERLINK("https://vtmf.veevavault.com/ui/#doc_info/606440/1/0", "EDMS-GCO-20560292")</f>
        <v>EDMS-GCO-20560292</v>
      </c>
    </row>
    <row r="459" customFormat="false" ht="14.25" hidden="false" customHeight="true" outlineLevel="0" collapsed="false">
      <c r="E459" s="8" t="s">
        <v>132</v>
      </c>
      <c r="F459" s="9" t="str">
        <f aca="false">HYPERLINK("https://vtmf.veevavault.com/ui/#doc_info/615219/1/0", "28431754DIA3015-KOR--Approval (v1.0)")</f>
        <v>28431754DIA3015-KOR--Approval (v1.0)</v>
      </c>
      <c r="G459" s="8" t="s">
        <v>625</v>
      </c>
      <c r="H459" s="9" t="str">
        <f aca="false">HYPERLINK("https://vtmf.veevavault.com/ui/#doc_info/615219/1/0", "EDMS-GCO-21114698")</f>
        <v>EDMS-GCO-21114698</v>
      </c>
    </row>
    <row r="460" customFormat="false" ht="14.25" hidden="false" customHeight="true" outlineLevel="0" collapsed="false">
      <c r="E460" s="8" t="s">
        <v>132</v>
      </c>
      <c r="F460" s="9" t="str">
        <f aca="false">HYPERLINK("https://vtmf.veevavault.com/ui/#doc_info/631999/1/0", "28431754DIA3015-KOR--Approval (v1.0)")</f>
        <v>28431754DIA3015-KOR--Approval (v1.0)</v>
      </c>
      <c r="G460" s="8" t="s">
        <v>626</v>
      </c>
      <c r="H460" s="9" t="str">
        <f aca="false">HYPERLINK("https://vtmf.veevavault.com/ui/#doc_info/631999/1/0", "EDMS-GCO-21955167")</f>
        <v>EDMS-GCO-21955167</v>
      </c>
    </row>
    <row r="461" customFormat="false" ht="14.25" hidden="false" customHeight="true" outlineLevel="0" collapsed="false">
      <c r="E461" s="8" t="s">
        <v>132</v>
      </c>
      <c r="F461" s="9" t="str">
        <f aca="false">HYPERLINK("https://vtmf.veevavault.com/ui/#doc_info/632009/1/0", "28431754DIA3015-KOR--Approval (v1.0)")</f>
        <v>28431754DIA3015-KOR--Approval (v1.0)</v>
      </c>
      <c r="G461" s="8" t="s">
        <v>627</v>
      </c>
      <c r="H461" s="9" t="str">
        <f aca="false">HYPERLINK("https://vtmf.veevavault.com/ui/#doc_info/632009/1/0", "EDMS-GCO-21955169")</f>
        <v>EDMS-GCO-21955169</v>
      </c>
    </row>
    <row r="462" customFormat="false" ht="14.25" hidden="false" customHeight="true" outlineLevel="0" collapsed="false">
      <c r="E462" s="8" t="s">
        <v>132</v>
      </c>
      <c r="F462" s="9" t="str">
        <f aca="false">HYPERLINK("https://vtmf.veevavault.com/ui/#doc_info/632016/1/0", "28431754DIA3015-KOR--Approval (v1.0)")</f>
        <v>28431754DIA3015-KOR--Approval (v1.0)</v>
      </c>
      <c r="G462" s="8" t="s">
        <v>628</v>
      </c>
      <c r="H462" s="9" t="str">
        <f aca="false">HYPERLINK("https://vtmf.veevavault.com/ui/#doc_info/632016/1/0", "EDMS-GCO-21955171")</f>
        <v>EDMS-GCO-21955171</v>
      </c>
    </row>
    <row r="463" customFormat="false" ht="14.25" hidden="false" customHeight="true" outlineLevel="0" collapsed="false">
      <c r="E463" s="8" t="s">
        <v>132</v>
      </c>
      <c r="F463" s="9" t="str">
        <f aca="false">HYPERLINK("https://vtmf.veevavault.com/ui/#doc_info/632025/1/0", "28431754DIA3015-KOR--Approval (v1.0)")</f>
        <v>28431754DIA3015-KOR--Approval (v1.0)</v>
      </c>
      <c r="G463" s="8" t="s">
        <v>629</v>
      </c>
      <c r="H463" s="9" t="str">
        <f aca="false">HYPERLINK("https://vtmf.veevavault.com/ui/#doc_info/632025/1/0", "EDMS-GCO-21955173")</f>
        <v>EDMS-GCO-21955173</v>
      </c>
    </row>
    <row r="464" customFormat="false" ht="14.25" hidden="false" customHeight="true" outlineLevel="0" collapsed="false">
      <c r="E464" s="8" t="s">
        <v>132</v>
      </c>
      <c r="F464" s="9" t="str">
        <f aca="false">HYPERLINK("https://vtmf.veevavault.com/ui/#doc_info/632036/1/0", "28431754DIA3015-KOR--Approval (v1.0)")</f>
        <v>28431754DIA3015-KOR--Approval (v1.0)</v>
      </c>
      <c r="G464" s="8" t="s">
        <v>630</v>
      </c>
      <c r="H464" s="9" t="str">
        <f aca="false">HYPERLINK("https://vtmf.veevavault.com/ui/#doc_info/632036/1/0", "EDMS-GCO-21955175")</f>
        <v>EDMS-GCO-21955175</v>
      </c>
    </row>
    <row r="465" customFormat="false" ht="14.25" hidden="false" customHeight="true" outlineLevel="0" collapsed="false">
      <c r="E465" s="8" t="s">
        <v>132</v>
      </c>
      <c r="F465" s="9" t="str">
        <f aca="false">HYPERLINK("https://vtmf.veevavault.com/ui/#doc_info/674175/2/0", "28431754DIA3015-KOR--Approval (v2.0)")</f>
        <v>28431754DIA3015-KOR--Approval (v2.0)</v>
      </c>
      <c r="G465" s="8" t="s">
        <v>631</v>
      </c>
      <c r="H465" s="9" t="str">
        <f aca="false">HYPERLINK("https://vtmf.veevavault.com/ui/#doc_info/674175/2/0", "EDMS-GCO-24345977")</f>
        <v>EDMS-GCO-24345977</v>
      </c>
    </row>
    <row r="466" customFormat="false" ht="14.25" hidden="false" customHeight="true" outlineLevel="0" collapsed="false">
      <c r="E466" s="8" t="s">
        <v>132</v>
      </c>
      <c r="F466" s="9" t="str">
        <f aca="false">HYPERLINK("https://vtmf.veevavault.com/ui/#doc_info/739389/1/0", "28431754DIA3015-KOR--Approval (v1.0)")</f>
        <v>28431754DIA3015-KOR--Approval (v1.0)</v>
      </c>
      <c r="G466" s="8" t="s">
        <v>632</v>
      </c>
      <c r="H466" s="9" t="str">
        <f aca="false">HYPERLINK("https://vtmf.veevavault.com/ui/#doc_info/739389/1/0", "EDMS-GCO-37303988")</f>
        <v>EDMS-GCO-37303988</v>
      </c>
    </row>
    <row r="467" customFormat="false" ht="14.25" hidden="false" customHeight="true" outlineLevel="0" collapsed="false">
      <c r="E467" s="8" t="s">
        <v>132</v>
      </c>
      <c r="F467" s="9" t="str">
        <f aca="false">HYPERLINK("https://vtmf.veevavault.com/ui/#doc_info/771248/1/0", "28431754DIA3015-KOR--Approval (v1.0)")</f>
        <v>28431754DIA3015-KOR--Approval (v1.0)</v>
      </c>
      <c r="G467" s="8" t="s">
        <v>633</v>
      </c>
      <c r="H467" s="9" t="str">
        <f aca="false">HYPERLINK("https://vtmf.veevavault.com/ui/#doc_info/771248/1/0", "EDMS-GCO-41998273")</f>
        <v>EDMS-GCO-41998273</v>
      </c>
    </row>
    <row r="468" customFormat="false" ht="14.25" hidden="false" customHeight="true" outlineLevel="0" collapsed="false">
      <c r="E468" s="8" t="s">
        <v>132</v>
      </c>
      <c r="F468" s="9" t="str">
        <f aca="false">HYPERLINK("https://vtmf.veevavault.com/ui/#doc_info/771253/1/0", "28431754DIA3015-KOR--Approval (v1.0)")</f>
        <v>28431754DIA3015-KOR--Approval (v1.0)</v>
      </c>
      <c r="G468" s="8" t="s">
        <v>634</v>
      </c>
      <c r="H468" s="9" t="str">
        <f aca="false">HYPERLINK("https://vtmf.veevavault.com/ui/#doc_info/771253/1/0", "EDMS-GCO-41998364")</f>
        <v>EDMS-GCO-41998364</v>
      </c>
    </row>
    <row r="469" customFormat="false" ht="14.25" hidden="false" customHeight="true" outlineLevel="0" collapsed="false">
      <c r="E469" s="8" t="s">
        <v>132</v>
      </c>
      <c r="F469" s="9" t="str">
        <f aca="false">HYPERLINK("https://vtmf.veevavault.com/ui/#doc_info/817676/1/0", "28431754DIA3015-KOR--Approval (v1.0)")</f>
        <v>28431754DIA3015-KOR--Approval (v1.0)</v>
      </c>
      <c r="G469" s="8" t="s">
        <v>635</v>
      </c>
      <c r="H469" s="9" t="str">
        <f aca="false">HYPERLINK("https://vtmf.veevavault.com/ui/#doc_info/817676/1/0", "EDMS-GCO-46652639")</f>
        <v>EDMS-GCO-46652639</v>
      </c>
    </row>
    <row r="470" customFormat="false" ht="14.25" hidden="false" customHeight="true" outlineLevel="0" collapsed="false">
      <c r="E470" s="8" t="s">
        <v>132</v>
      </c>
      <c r="F470" s="9" t="str">
        <f aca="false">HYPERLINK("https://vtmf.veevavault.com/ui/#doc_info/817688/1/0", "28431754DIA3015-KOR--Approval (v1.0)")</f>
        <v>28431754DIA3015-KOR--Approval (v1.0)</v>
      </c>
      <c r="G470" s="8" t="s">
        <v>636</v>
      </c>
      <c r="H470" s="9" t="str">
        <f aca="false">HYPERLINK("https://vtmf.veevavault.com/ui/#doc_info/817688/1/0", "EDMS-GCO-46652640")</f>
        <v>EDMS-GCO-46652640</v>
      </c>
    </row>
    <row r="471" customFormat="false" ht="14.25" hidden="false" customHeight="true" outlineLevel="0" collapsed="false">
      <c r="E471" s="8" t="s">
        <v>132</v>
      </c>
      <c r="F471" s="9" t="str">
        <f aca="false">HYPERLINK("https://vtmf.veevavault.com/ui/#doc_info/822496/1/0", "28431754DIA3015-KOR--Approval (v1.0)")</f>
        <v>28431754DIA3015-KOR--Approval (v1.0)</v>
      </c>
      <c r="G471" s="8" t="s">
        <v>637</v>
      </c>
      <c r="H471" s="9" t="str">
        <f aca="false">HYPERLINK("https://vtmf.veevavault.com/ui/#doc_info/822496/1/0", "EDMS-GCO-47339310")</f>
        <v>EDMS-GCO-47339310</v>
      </c>
    </row>
    <row r="472" customFormat="false" ht="14.25" hidden="false" customHeight="true" outlineLevel="0" collapsed="false">
      <c r="E472" s="8" t="s">
        <v>132</v>
      </c>
      <c r="F472" s="9" t="str">
        <f aca="false">HYPERLINK("https://vtmf.veevavault.com/ui/#doc_info/822506/1/0", "28431754DIA3015-KOR--Approval (v1.0)")</f>
        <v>28431754DIA3015-KOR--Approval (v1.0)</v>
      </c>
      <c r="G472" s="8" t="s">
        <v>638</v>
      </c>
      <c r="H472" s="9" t="str">
        <f aca="false">HYPERLINK("https://vtmf.veevavault.com/ui/#doc_info/822506/1/0", "EDMS-GCO-47339311")</f>
        <v>EDMS-GCO-47339311</v>
      </c>
    </row>
    <row r="473" customFormat="false" ht="14.25" hidden="false" customHeight="true" outlineLevel="0" collapsed="false">
      <c r="E473" s="8" t="s">
        <v>132</v>
      </c>
      <c r="F473" s="9" t="str">
        <f aca="false">HYPERLINK("https://vtmf.veevavault.com/ui/#doc_info/822516/1/0", "28431754DIA3015-KOR--Approval (v1.0)")</f>
        <v>28431754DIA3015-KOR--Approval (v1.0)</v>
      </c>
      <c r="G473" s="8" t="s">
        <v>639</v>
      </c>
      <c r="H473" s="9" t="str">
        <f aca="false">HYPERLINK("https://vtmf.veevavault.com/ui/#doc_info/822516/1/0", "EDMS-GCO-47345554")</f>
        <v>EDMS-GCO-47345554</v>
      </c>
    </row>
    <row r="474" customFormat="false" ht="14.25" hidden="false" customHeight="true" outlineLevel="0" collapsed="false">
      <c r="E474" s="8" t="s">
        <v>132</v>
      </c>
      <c r="F474" s="9" t="str">
        <f aca="false">HYPERLINK("https://vtmf.veevavault.com/ui/#doc_info/822525/1/0", "28431754DIA3015-KOR--Approval (v1.0)")</f>
        <v>28431754DIA3015-KOR--Approval (v1.0)</v>
      </c>
      <c r="G474" s="8" t="s">
        <v>640</v>
      </c>
      <c r="H474" s="9" t="str">
        <f aca="false">HYPERLINK("https://vtmf.veevavault.com/ui/#doc_info/822525/1/0", "EDMS-GCO-47345555")</f>
        <v>EDMS-GCO-47345555</v>
      </c>
    </row>
    <row r="475" customFormat="false" ht="14.25" hidden="false" customHeight="true" outlineLevel="0" collapsed="false">
      <c r="E475" s="8" t="s">
        <v>132</v>
      </c>
      <c r="F475" s="9" t="str">
        <f aca="false">HYPERLINK("https://vtmf.veevavault.com/ui/#doc_info/822552/1/0", "28431754DIA3015-KOR--Approval (v1.0)")</f>
        <v>28431754DIA3015-KOR--Approval (v1.0)</v>
      </c>
      <c r="G475" s="8" t="s">
        <v>641</v>
      </c>
      <c r="H475" s="9" t="str">
        <f aca="false">HYPERLINK("https://vtmf.veevavault.com/ui/#doc_info/822552/1/0", "EDMS-GCO-47346995")</f>
        <v>EDMS-GCO-47346995</v>
      </c>
    </row>
    <row r="476" customFormat="false" ht="14.25" hidden="false" customHeight="true" outlineLevel="0" collapsed="false">
      <c r="E476" s="8" t="s">
        <v>132</v>
      </c>
      <c r="F476" s="9" t="str">
        <f aca="false">HYPERLINK("https://vtmf.veevavault.com/ui/#doc_info/822562/1/0", "28431754DIA3015-KOR--Approval (v1.0)")</f>
        <v>28431754DIA3015-KOR--Approval (v1.0)</v>
      </c>
      <c r="G476" s="8" t="s">
        <v>642</v>
      </c>
      <c r="H476" s="9" t="str">
        <f aca="false">HYPERLINK("https://vtmf.veevavault.com/ui/#doc_info/822562/1/0", "EDMS-GCO-47346999")</f>
        <v>EDMS-GCO-47346999</v>
      </c>
    </row>
    <row r="477" customFormat="false" ht="14.25" hidden="false" customHeight="true" outlineLevel="0" collapsed="false">
      <c r="E477" s="8" t="s">
        <v>132</v>
      </c>
      <c r="F477" s="9" t="str">
        <f aca="false">HYPERLINK("https://vtmf.veevavault.com/ui/#doc_info/822651/1/0", "28431754DIA3015-KOR--Approval (v1.0)")</f>
        <v>28431754DIA3015-KOR--Approval (v1.0)</v>
      </c>
      <c r="G477" s="8" t="s">
        <v>643</v>
      </c>
      <c r="H477" s="9" t="str">
        <f aca="false">HYPERLINK("https://vtmf.veevavault.com/ui/#doc_info/822651/1/0", "EDMS-GCO-47514437")</f>
        <v>EDMS-GCO-47514437</v>
      </c>
    </row>
    <row r="478" customFormat="false" ht="14.25" hidden="false" customHeight="true" outlineLevel="0" collapsed="false">
      <c r="E478" s="8" t="s">
        <v>132</v>
      </c>
      <c r="F478" s="9" t="str">
        <f aca="false">HYPERLINK("https://vtmf.veevavault.com/ui/#doc_info/822658/1/0", "28431754DIA3015-KOR--Approval (v1.0)")</f>
        <v>28431754DIA3015-KOR--Approval (v1.0)</v>
      </c>
      <c r="G478" s="8" t="s">
        <v>644</v>
      </c>
      <c r="H478" s="9" t="str">
        <f aca="false">HYPERLINK("https://vtmf.veevavault.com/ui/#doc_info/822658/1/0", "EDMS-GCO-47514438")</f>
        <v>EDMS-GCO-47514438</v>
      </c>
    </row>
    <row r="479" customFormat="false" ht="14.25" hidden="false" customHeight="true" outlineLevel="0" collapsed="false">
      <c r="E479" s="8" t="s">
        <v>132</v>
      </c>
      <c r="F479" s="9" t="str">
        <f aca="false">HYPERLINK("https://vtmf.veevavault.com/ui/#doc_info/822665/1/0", "28431754DIA3015-KOR--Approval (v1.0)")</f>
        <v>28431754DIA3015-KOR--Approval (v1.0)</v>
      </c>
      <c r="G479" s="8" t="s">
        <v>645</v>
      </c>
      <c r="H479" s="9" t="str">
        <f aca="false">HYPERLINK("https://vtmf.veevavault.com/ui/#doc_info/822665/1/0", "EDMS-GCO-47514439")</f>
        <v>EDMS-GCO-47514439</v>
      </c>
    </row>
    <row r="480" customFormat="false" ht="14.25" hidden="false" customHeight="true" outlineLevel="0" collapsed="false">
      <c r="E480" s="8" t="s">
        <v>132</v>
      </c>
      <c r="F480" s="9" t="str">
        <f aca="false">HYPERLINK("https://vtmf.veevavault.com/ui/#doc_info/822671/1/0", "28431754DIA3015-KOR--Approval (v1.0)")</f>
        <v>28431754DIA3015-KOR--Approval (v1.0)</v>
      </c>
      <c r="G480" s="8" t="s">
        <v>646</v>
      </c>
      <c r="H480" s="9" t="str">
        <f aca="false">HYPERLINK("https://vtmf.veevavault.com/ui/#doc_info/822671/1/0", "EDMS-GCO-47515216")</f>
        <v>EDMS-GCO-47515216</v>
      </c>
    </row>
    <row r="481" customFormat="false" ht="14.25" hidden="false" customHeight="true" outlineLevel="0" collapsed="false">
      <c r="E481" s="8" t="s">
        <v>132</v>
      </c>
      <c r="F481" s="9" t="str">
        <f aca="false">HYPERLINK("https://vtmf.veevavault.com/ui/#doc_info/822683/1/0", "28431754DIA3015-KOR--Approval (v1.0)")</f>
        <v>28431754DIA3015-KOR--Approval (v1.0)</v>
      </c>
      <c r="G481" s="8" t="s">
        <v>647</v>
      </c>
      <c r="H481" s="9" t="str">
        <f aca="false">HYPERLINK("https://vtmf.veevavault.com/ui/#doc_info/822683/1/0", "EDMS-GCO-47515218")</f>
        <v>EDMS-GCO-47515218</v>
      </c>
    </row>
    <row r="482" customFormat="false" ht="14.25" hidden="false" customHeight="true" outlineLevel="0" collapsed="false">
      <c r="E482" s="8" t="s">
        <v>132</v>
      </c>
      <c r="F482" s="9" t="str">
        <f aca="false">HYPERLINK("https://vtmf.veevavault.com/ui/#doc_info/822690/1/0", "28431754DIA3015-KOR--Approval (v1.0)")</f>
        <v>28431754DIA3015-KOR--Approval (v1.0)</v>
      </c>
      <c r="G482" s="8" t="s">
        <v>648</v>
      </c>
      <c r="H482" s="9" t="str">
        <f aca="false">HYPERLINK("https://vtmf.veevavault.com/ui/#doc_info/822690/1/0", "EDMS-GCO-47516162")</f>
        <v>EDMS-GCO-47516162</v>
      </c>
    </row>
    <row r="483" customFormat="false" ht="14.25" hidden="false" customHeight="true" outlineLevel="0" collapsed="false">
      <c r="E483" s="8" t="s">
        <v>132</v>
      </c>
      <c r="F483" s="9" t="str">
        <f aca="false">HYPERLINK("https://vtmf.veevavault.com/ui/#doc_info/822697/1/0", "28431754DIA3015-KOR--Approval (v1.0)")</f>
        <v>28431754DIA3015-KOR--Approval (v1.0)</v>
      </c>
      <c r="G483" s="8" t="s">
        <v>649</v>
      </c>
      <c r="H483" s="9" t="str">
        <f aca="false">HYPERLINK("https://vtmf.veevavault.com/ui/#doc_info/822697/1/0", "EDMS-GCO-47516163")</f>
        <v>EDMS-GCO-47516163</v>
      </c>
    </row>
    <row r="484" customFormat="false" ht="14.25" hidden="false" customHeight="true" outlineLevel="0" collapsed="false">
      <c r="E484" s="8" t="s">
        <v>132</v>
      </c>
      <c r="F484" s="9" t="str">
        <f aca="false">HYPERLINK("https://vtmf.veevavault.com/ui/#doc_info/822707/1/0", "28431754DIA3015-KOR--Approval (v1.0)")</f>
        <v>28431754DIA3015-KOR--Approval (v1.0)</v>
      </c>
      <c r="G484" s="8" t="s">
        <v>650</v>
      </c>
      <c r="H484" s="9" t="str">
        <f aca="false">HYPERLINK("https://vtmf.veevavault.com/ui/#doc_info/822707/1/0", "EDMS-GCO-47516164")</f>
        <v>EDMS-GCO-47516164</v>
      </c>
    </row>
    <row r="485" customFormat="false" ht="14.25" hidden="false" customHeight="true" outlineLevel="0" collapsed="false">
      <c r="E485" s="8" t="s">
        <v>132</v>
      </c>
      <c r="F485" s="9" t="str">
        <f aca="false">HYPERLINK("https://vtmf.veevavault.com/ui/#doc_info/822716/1/0", "28431754DIA3015-KOR--Approval (v1.0)")</f>
        <v>28431754DIA3015-KOR--Approval (v1.0)</v>
      </c>
      <c r="G485" s="8" t="s">
        <v>651</v>
      </c>
      <c r="H485" s="9" t="str">
        <f aca="false">HYPERLINK("https://vtmf.veevavault.com/ui/#doc_info/822716/1/0", "EDMS-GCO-47516165")</f>
        <v>EDMS-GCO-47516165</v>
      </c>
    </row>
    <row r="486" customFormat="false" ht="14.25" hidden="false" customHeight="true" outlineLevel="0" collapsed="false">
      <c r="E486" s="8" t="s">
        <v>132</v>
      </c>
      <c r="F486" s="9" t="str">
        <f aca="false">HYPERLINK("https://vtmf.veevavault.com/ui/#doc_info/822722/1/0", "28431754DIA3015-KOR--Approval (v1.0)")</f>
        <v>28431754DIA3015-KOR--Approval (v1.0)</v>
      </c>
      <c r="G486" s="8" t="s">
        <v>652</v>
      </c>
      <c r="H486" s="9" t="str">
        <f aca="false">HYPERLINK("https://vtmf.veevavault.com/ui/#doc_info/822722/1/0", "EDMS-GCO-47516187")</f>
        <v>EDMS-GCO-47516187</v>
      </c>
    </row>
    <row r="487" customFormat="false" ht="14.25" hidden="false" customHeight="true" outlineLevel="0" collapsed="false">
      <c r="E487" s="8" t="s">
        <v>132</v>
      </c>
      <c r="F487" s="9" t="str">
        <f aca="false">HYPERLINK("https://vtmf.veevavault.com/ui/#doc_info/822733/1/0", "28431754DIA3015-KOR--Approval (v1.0)")</f>
        <v>28431754DIA3015-KOR--Approval (v1.0)</v>
      </c>
      <c r="G487" s="8" t="s">
        <v>653</v>
      </c>
      <c r="H487" s="9" t="str">
        <f aca="false">HYPERLINK("https://vtmf.veevavault.com/ui/#doc_info/822733/1/0", "EDMS-GCO-47516188")</f>
        <v>EDMS-GCO-47516188</v>
      </c>
    </row>
    <row r="488" customFormat="false" ht="14.25" hidden="false" customHeight="true" outlineLevel="0" collapsed="false">
      <c r="E488" s="8" t="s">
        <v>132</v>
      </c>
      <c r="F488" s="9" t="str">
        <f aca="false">HYPERLINK("https://vtmf.veevavault.com/ui/#doc_info/822741/1/0", "28431754DIA3015-KOR--Approval (v1.0)")</f>
        <v>28431754DIA3015-KOR--Approval (v1.0)</v>
      </c>
      <c r="G488" s="8" t="s">
        <v>654</v>
      </c>
      <c r="H488" s="9" t="str">
        <f aca="false">HYPERLINK("https://vtmf.veevavault.com/ui/#doc_info/822741/1/0", "EDMS-GCO-47516189")</f>
        <v>EDMS-GCO-47516189</v>
      </c>
    </row>
    <row r="489" customFormat="false" ht="14.25" hidden="false" customHeight="true" outlineLevel="0" collapsed="false">
      <c r="E489" s="8" t="s">
        <v>132</v>
      </c>
      <c r="F489" s="9" t="str">
        <f aca="false">HYPERLINK("https://vtmf.veevavault.com/ui/#doc_info/822746/1/0", "28431754DIA3015-KOR--Approval (v1.0)")</f>
        <v>28431754DIA3015-KOR--Approval (v1.0)</v>
      </c>
      <c r="G489" s="8" t="s">
        <v>655</v>
      </c>
      <c r="H489" s="9" t="str">
        <f aca="false">HYPERLINK("https://vtmf.veevavault.com/ui/#doc_info/822746/1/0", "EDMS-GCO-47516190")</f>
        <v>EDMS-GCO-47516190</v>
      </c>
    </row>
    <row r="490" customFormat="false" ht="14.25" hidden="false" customHeight="true" outlineLevel="0" collapsed="false">
      <c r="E490" s="8" t="s">
        <v>132</v>
      </c>
      <c r="F490" s="9" t="str">
        <f aca="false">HYPERLINK("https://vtmf.veevavault.com/ui/#doc_info/822753/1/0", "28431754DIA3015-KOR--Approval (v1.0)")</f>
        <v>28431754DIA3015-KOR--Approval (v1.0)</v>
      </c>
      <c r="G490" s="8" t="s">
        <v>656</v>
      </c>
      <c r="H490" s="9" t="str">
        <f aca="false">HYPERLINK("https://vtmf.veevavault.com/ui/#doc_info/822753/1/0", "EDMS-GCO-47516192")</f>
        <v>EDMS-GCO-47516192</v>
      </c>
    </row>
    <row r="491" customFormat="false" ht="14.25" hidden="false" customHeight="true" outlineLevel="0" collapsed="false">
      <c r="E491" s="8" t="s">
        <v>132</v>
      </c>
      <c r="F491" s="9" t="str">
        <f aca="false">HYPERLINK("https://vtmf.veevavault.com/ui/#doc_info/822759/1/0", "28431754DIA3015-KOR--Approval (v1.0)")</f>
        <v>28431754DIA3015-KOR--Approval (v1.0)</v>
      </c>
      <c r="G491" s="8" t="s">
        <v>657</v>
      </c>
      <c r="H491" s="9" t="str">
        <f aca="false">HYPERLINK("https://vtmf.veevavault.com/ui/#doc_info/822759/1/0", "EDMS-GCO-47516193")</f>
        <v>EDMS-GCO-47516193</v>
      </c>
    </row>
    <row r="492" customFormat="false" ht="14.25" hidden="false" customHeight="true" outlineLevel="0" collapsed="false">
      <c r="E492" s="8" t="s">
        <v>132</v>
      </c>
      <c r="F492" s="9" t="str">
        <f aca="false">HYPERLINK("https://vtmf.veevavault.com/ui/#doc_info/822766/1/0", "28431754DIA3015-KOR--Approval (v1.0)")</f>
        <v>28431754DIA3015-KOR--Approval (v1.0)</v>
      </c>
      <c r="G492" s="8" t="s">
        <v>658</v>
      </c>
      <c r="H492" s="9" t="str">
        <f aca="false">HYPERLINK("https://vtmf.veevavault.com/ui/#doc_info/822766/1/0", "EDMS-GCO-47516194")</f>
        <v>EDMS-GCO-47516194</v>
      </c>
    </row>
    <row r="493" customFormat="false" ht="14.25" hidden="false" customHeight="true" outlineLevel="0" collapsed="false">
      <c r="E493" s="8" t="s">
        <v>132</v>
      </c>
      <c r="F493" s="9" t="str">
        <f aca="false">HYPERLINK("https://vtmf.veevavault.com/ui/#doc_info/822772/1/0", "28431754DIA3015-KOR--Approval (v1.0)")</f>
        <v>28431754DIA3015-KOR--Approval (v1.0)</v>
      </c>
      <c r="G493" s="8" t="s">
        <v>659</v>
      </c>
      <c r="H493" s="9" t="str">
        <f aca="false">HYPERLINK("https://vtmf.veevavault.com/ui/#doc_info/822772/1/0", "EDMS-GCO-47516195")</f>
        <v>EDMS-GCO-47516195</v>
      </c>
    </row>
    <row r="494" customFormat="false" ht="14.25" hidden="false" customHeight="true" outlineLevel="0" collapsed="false">
      <c r="E494" s="8" t="s">
        <v>132</v>
      </c>
      <c r="F494" s="9" t="str">
        <f aca="false">HYPERLINK("https://vtmf.veevavault.com/ui/#doc_info/822782/1/0", "28431754DIA3015-KOR--Approval (v1.0)")</f>
        <v>28431754DIA3015-KOR--Approval (v1.0)</v>
      </c>
      <c r="G494" s="8" t="s">
        <v>660</v>
      </c>
      <c r="H494" s="9" t="str">
        <f aca="false">HYPERLINK("https://vtmf.veevavault.com/ui/#doc_info/822782/1/0", "EDMS-GCO-47516196")</f>
        <v>EDMS-GCO-47516196</v>
      </c>
    </row>
    <row r="495" customFormat="false" ht="14.25" hidden="false" customHeight="true" outlineLevel="0" collapsed="false">
      <c r="E495" s="8" t="s">
        <v>132</v>
      </c>
      <c r="F495" s="9" t="str">
        <f aca="false">HYPERLINK("https://vtmf.veevavault.com/ui/#doc_info/822788/1/0", "28431754DIA3015-KOR--Approval (v1.0)")</f>
        <v>28431754DIA3015-KOR--Approval (v1.0)</v>
      </c>
      <c r="G495" s="8" t="s">
        <v>661</v>
      </c>
      <c r="H495" s="9" t="str">
        <f aca="false">HYPERLINK("https://vtmf.veevavault.com/ui/#doc_info/822788/1/0", "EDMS-GCO-47516215")</f>
        <v>EDMS-GCO-47516215</v>
      </c>
    </row>
    <row r="496" customFormat="false" ht="14.25" hidden="false" customHeight="true" outlineLevel="0" collapsed="false">
      <c r="E496" s="8" t="s">
        <v>132</v>
      </c>
      <c r="F496" s="9" t="str">
        <f aca="false">HYPERLINK("https://vtmf.veevavault.com/ui/#doc_info/822795/1/0", "28431754DIA3015-KOR--Approval (v1.0)")</f>
        <v>28431754DIA3015-KOR--Approval (v1.0)</v>
      </c>
      <c r="G496" s="8" t="s">
        <v>662</v>
      </c>
      <c r="H496" s="9" t="str">
        <f aca="false">HYPERLINK("https://vtmf.veevavault.com/ui/#doc_info/822795/1/0", "EDMS-GCO-47516216")</f>
        <v>EDMS-GCO-47516216</v>
      </c>
    </row>
    <row r="497" customFormat="false" ht="14.25" hidden="false" customHeight="true" outlineLevel="0" collapsed="false">
      <c r="E497" s="8" t="s">
        <v>132</v>
      </c>
      <c r="F497" s="9" t="str">
        <f aca="false">HYPERLINK("https://vtmf.veevavault.com/ui/#doc_info/822802/1/0", "28431754DIA3015-KOR--Approval (v1.0)")</f>
        <v>28431754DIA3015-KOR--Approval (v1.0)</v>
      </c>
      <c r="G497" s="8" t="s">
        <v>663</v>
      </c>
      <c r="H497" s="9" t="str">
        <f aca="false">HYPERLINK("https://vtmf.veevavault.com/ui/#doc_info/822802/1/0", "EDMS-GCO-47516217")</f>
        <v>EDMS-GCO-47516217</v>
      </c>
    </row>
    <row r="498" customFormat="false" ht="14.25" hidden="false" customHeight="true" outlineLevel="0" collapsed="false">
      <c r="E498" s="8" t="s">
        <v>132</v>
      </c>
      <c r="F498" s="9" t="str">
        <f aca="false">HYPERLINK("https://vtmf.veevavault.com/ui/#doc_info/822809/1/0", "28431754DIA3015-KOR--Approval (v1.0)")</f>
        <v>28431754DIA3015-KOR--Approval (v1.0)</v>
      </c>
      <c r="G498" s="8" t="s">
        <v>664</v>
      </c>
      <c r="H498" s="9" t="str">
        <f aca="false">HYPERLINK("https://vtmf.veevavault.com/ui/#doc_info/822809/1/0", "EDMS-GCO-47516219")</f>
        <v>EDMS-GCO-47516219</v>
      </c>
    </row>
    <row r="499" customFormat="false" ht="14.25" hidden="false" customHeight="true" outlineLevel="0" collapsed="false">
      <c r="E499" s="8" t="s">
        <v>132</v>
      </c>
      <c r="F499" s="9" t="str">
        <f aca="false">HYPERLINK("https://vtmf.veevavault.com/ui/#doc_info/822817/1/0", "28431754DIA3015-KOR--Approval (v1.0)")</f>
        <v>28431754DIA3015-KOR--Approval (v1.0)</v>
      </c>
      <c r="G499" s="8" t="s">
        <v>665</v>
      </c>
      <c r="H499" s="9" t="str">
        <f aca="false">HYPERLINK("https://vtmf.veevavault.com/ui/#doc_info/822817/1/0", "EDMS-GCO-47516220")</f>
        <v>EDMS-GCO-47516220</v>
      </c>
    </row>
    <row r="500" customFormat="false" ht="14.25" hidden="false" customHeight="true" outlineLevel="0" collapsed="false">
      <c r="E500" s="8" t="s">
        <v>132</v>
      </c>
      <c r="F500" s="9" t="str">
        <f aca="false">HYPERLINK("https://vtmf.veevavault.com/ui/#doc_info/822825/1/0", "28431754DIA3015-KOR--Approval (v1.0)")</f>
        <v>28431754DIA3015-KOR--Approval (v1.0)</v>
      </c>
      <c r="G500" s="8" t="s">
        <v>666</v>
      </c>
      <c r="H500" s="9" t="str">
        <f aca="false">HYPERLINK("https://vtmf.veevavault.com/ui/#doc_info/822825/1/0", "EDMS-GCO-47516221")</f>
        <v>EDMS-GCO-47516221</v>
      </c>
    </row>
    <row r="501" customFormat="false" ht="14.25" hidden="false" customHeight="true" outlineLevel="0" collapsed="false">
      <c r="E501" s="8" t="s">
        <v>132</v>
      </c>
      <c r="F501" s="9" t="str">
        <f aca="false">HYPERLINK("https://vtmf.veevavault.com/ui/#doc_info/822830/1/0", "28431754DIA3015-KOR--Approval (v1.0)")</f>
        <v>28431754DIA3015-KOR--Approval (v1.0)</v>
      </c>
      <c r="G501" s="8" t="s">
        <v>667</v>
      </c>
      <c r="H501" s="9" t="str">
        <f aca="false">HYPERLINK("https://vtmf.veevavault.com/ui/#doc_info/822830/1/0", "EDMS-GCO-47516222")</f>
        <v>EDMS-GCO-47516222</v>
      </c>
    </row>
    <row r="502" customFormat="false" ht="14.25" hidden="false" customHeight="true" outlineLevel="0" collapsed="false">
      <c r="E502" s="8" t="s">
        <v>132</v>
      </c>
      <c r="F502" s="9" t="str">
        <f aca="false">HYPERLINK("https://vtmf.veevavault.com/ui/#doc_info/822838/1/0", "28431754DIA3015-KOR--Approval (v1.0)")</f>
        <v>28431754DIA3015-KOR--Approval (v1.0)</v>
      </c>
      <c r="G502" s="8" t="s">
        <v>668</v>
      </c>
      <c r="H502" s="9" t="str">
        <f aca="false">HYPERLINK("https://vtmf.veevavault.com/ui/#doc_info/822838/1/0", "EDMS-GCO-47516223")</f>
        <v>EDMS-GCO-47516223</v>
      </c>
    </row>
    <row r="503" customFormat="false" ht="14.25" hidden="false" customHeight="true" outlineLevel="0" collapsed="false">
      <c r="E503" s="8" t="s">
        <v>132</v>
      </c>
      <c r="F503" s="9" t="str">
        <f aca="false">HYPERLINK("https://vtmf.veevavault.com/ui/#doc_info/822848/1/0", "28431754DIA3015-KOR--Approval (v1.0)")</f>
        <v>28431754DIA3015-KOR--Approval (v1.0)</v>
      </c>
      <c r="G503" s="8" t="s">
        <v>669</v>
      </c>
      <c r="H503" s="9" t="str">
        <f aca="false">HYPERLINK("https://vtmf.veevavault.com/ui/#doc_info/822848/1/0", "EDMS-GCO-47516224")</f>
        <v>EDMS-GCO-47516224</v>
      </c>
    </row>
    <row r="504" customFormat="false" ht="14.25" hidden="false" customHeight="true" outlineLevel="0" collapsed="false">
      <c r="E504" s="8" t="s">
        <v>132</v>
      </c>
      <c r="F504" s="9" t="str">
        <f aca="false">HYPERLINK("https://vtmf.veevavault.com/ui/#doc_info/822856/1/0", "28431754DIA3015-KOR--Approval (v1.0)")</f>
        <v>28431754DIA3015-KOR--Approval (v1.0)</v>
      </c>
      <c r="G504" s="8" t="s">
        <v>670</v>
      </c>
      <c r="H504" s="9" t="str">
        <f aca="false">HYPERLINK("https://vtmf.veevavault.com/ui/#doc_info/822856/1/0", "EDMS-GCO-47516251")</f>
        <v>EDMS-GCO-47516251</v>
      </c>
    </row>
    <row r="505" customFormat="false" ht="14.25" hidden="false" customHeight="true" outlineLevel="0" collapsed="false">
      <c r="E505" s="8" t="s">
        <v>132</v>
      </c>
      <c r="F505" s="9" t="str">
        <f aca="false">HYPERLINK("https://vtmf.veevavault.com/ui/#doc_info/822862/1/0", "28431754DIA3015-KOR--Approval (v1.0)")</f>
        <v>28431754DIA3015-KOR--Approval (v1.0)</v>
      </c>
      <c r="G505" s="8" t="s">
        <v>671</v>
      </c>
      <c r="H505" s="9" t="str">
        <f aca="false">HYPERLINK("https://vtmf.veevavault.com/ui/#doc_info/822862/1/0", "EDMS-GCO-47516252")</f>
        <v>EDMS-GCO-47516252</v>
      </c>
    </row>
    <row r="506" customFormat="false" ht="14.25" hidden="false" customHeight="true" outlineLevel="0" collapsed="false">
      <c r="E506" s="8" t="s">
        <v>132</v>
      </c>
      <c r="F506" s="9" t="str">
        <f aca="false">HYPERLINK("https://vtmf.veevavault.com/ui/#doc_info/822872/1/0", "28431754DIA3015-KOR--Approval (v1.0)")</f>
        <v>28431754DIA3015-KOR--Approval (v1.0)</v>
      </c>
      <c r="G506" s="8" t="s">
        <v>672</v>
      </c>
      <c r="H506" s="9" t="str">
        <f aca="false">HYPERLINK("https://vtmf.veevavault.com/ui/#doc_info/822872/1/0", "EDMS-GCO-47516253")</f>
        <v>EDMS-GCO-47516253</v>
      </c>
    </row>
    <row r="507" customFormat="false" ht="14.25" hidden="false" customHeight="true" outlineLevel="0" collapsed="false">
      <c r="E507" s="8" t="s">
        <v>132</v>
      </c>
      <c r="F507" s="9" t="str">
        <f aca="false">HYPERLINK("https://vtmf.veevavault.com/ui/#doc_info/822883/1/0", "28431754DIA3015-KOR--Approval (v1.0)")</f>
        <v>28431754DIA3015-KOR--Approval (v1.0)</v>
      </c>
      <c r="G507" s="8" t="s">
        <v>673</v>
      </c>
      <c r="H507" s="9" t="str">
        <f aca="false">HYPERLINK("https://vtmf.veevavault.com/ui/#doc_info/822883/1/0", "EDMS-GCO-47516255")</f>
        <v>EDMS-GCO-47516255</v>
      </c>
    </row>
    <row r="508" customFormat="false" ht="14.25" hidden="false" customHeight="true" outlineLevel="0" collapsed="false">
      <c r="E508" s="8" t="s">
        <v>132</v>
      </c>
      <c r="F508" s="9" t="str">
        <f aca="false">HYPERLINK("https://vtmf.veevavault.com/ui/#doc_info/822891/1/0", "28431754DIA3015-KOR--Approval (v1.0)")</f>
        <v>28431754DIA3015-KOR--Approval (v1.0)</v>
      </c>
      <c r="G508" s="8" t="s">
        <v>674</v>
      </c>
      <c r="H508" s="9" t="str">
        <f aca="false">HYPERLINK("https://vtmf.veevavault.com/ui/#doc_info/822891/1/0", "EDMS-GCO-47516257")</f>
        <v>EDMS-GCO-47516257</v>
      </c>
    </row>
    <row r="509" customFormat="false" ht="14.25" hidden="false" customHeight="true" outlineLevel="0" collapsed="false">
      <c r="E509" s="8" t="s">
        <v>132</v>
      </c>
      <c r="F509" s="9" t="str">
        <f aca="false">HYPERLINK("https://vtmf.veevavault.com/ui/#doc_info/822899/1/0", "28431754DIA3015-KOR--Approval (v1.0)")</f>
        <v>28431754DIA3015-KOR--Approval (v1.0)</v>
      </c>
      <c r="G509" s="8" t="s">
        <v>675</v>
      </c>
      <c r="H509" s="9" t="str">
        <f aca="false">HYPERLINK("https://vtmf.veevavault.com/ui/#doc_info/822899/1/0", "EDMS-GCO-47516258")</f>
        <v>EDMS-GCO-47516258</v>
      </c>
    </row>
    <row r="510" customFormat="false" ht="14.25" hidden="false" customHeight="true" outlineLevel="0" collapsed="false">
      <c r="E510" s="8" t="s">
        <v>132</v>
      </c>
      <c r="F510" s="9" t="str">
        <f aca="false">HYPERLINK("https://vtmf.veevavault.com/ui/#doc_info/822910/1/0", "28431754DIA3015-KOR--Approval (v1.0)")</f>
        <v>28431754DIA3015-KOR--Approval (v1.0)</v>
      </c>
      <c r="G510" s="8" t="s">
        <v>676</v>
      </c>
      <c r="H510" s="9" t="str">
        <f aca="false">HYPERLINK("https://vtmf.veevavault.com/ui/#doc_info/822910/1/0", "EDMS-GCO-47516259")</f>
        <v>EDMS-GCO-47516259</v>
      </c>
    </row>
    <row r="511" customFormat="false" ht="14.25" hidden="false" customHeight="true" outlineLevel="0" collapsed="false">
      <c r="E511" s="8" t="s">
        <v>132</v>
      </c>
      <c r="F511" s="9" t="str">
        <f aca="false">HYPERLINK("https://vtmf.veevavault.com/ui/#doc_info/822919/1/0", "28431754DIA3015-KOR--Approval (v1.0)")</f>
        <v>28431754DIA3015-KOR--Approval (v1.0)</v>
      </c>
      <c r="G511" s="8" t="s">
        <v>677</v>
      </c>
      <c r="H511" s="9" t="str">
        <f aca="false">HYPERLINK("https://vtmf.veevavault.com/ui/#doc_info/822919/1/0", "EDMS-GCO-47516260")</f>
        <v>EDMS-GCO-47516260</v>
      </c>
    </row>
    <row r="512" customFormat="false" ht="14.25" hidden="false" customHeight="true" outlineLevel="0" collapsed="false">
      <c r="E512" s="8" t="s">
        <v>132</v>
      </c>
      <c r="F512" s="9" t="str">
        <f aca="false">HYPERLINK("https://vtmf.veevavault.com/ui/#doc_info/857237/1/0", "28431754DIA3015-KOR--Approval (v1.0)")</f>
        <v>28431754DIA3015-KOR--Approval (v1.0)</v>
      </c>
      <c r="G512" s="8" t="s">
        <v>678</v>
      </c>
      <c r="H512" s="9" t="str">
        <f aca="false">HYPERLINK("https://vtmf.veevavault.com/ui/#doc_info/857237/1/0", "EDMS-GCO-66880979")</f>
        <v>EDMS-GCO-66880979</v>
      </c>
    </row>
    <row r="513" customFormat="false" ht="14.25" hidden="false" customHeight="true" outlineLevel="0" collapsed="false">
      <c r="E513" s="8" t="s">
        <v>132</v>
      </c>
      <c r="F513" s="9" t="str">
        <f aca="false">HYPERLINK("https://vtmf.veevavault.com/ui/#doc_info/857415/1/0", "28431754DIA3015-KOR--Approval (v1.0)")</f>
        <v>28431754DIA3015-KOR--Approval (v1.0)</v>
      </c>
      <c r="G513" s="8" t="s">
        <v>679</v>
      </c>
      <c r="H513" s="9" t="str">
        <f aca="false">HYPERLINK("https://vtmf.veevavault.com/ui/#doc_info/857415/1/0", "EDMS-GCO-66923671")</f>
        <v>EDMS-GCO-66923671</v>
      </c>
    </row>
    <row r="514" customFormat="false" ht="14.25" hidden="false" customHeight="true" outlineLevel="0" collapsed="false">
      <c r="E514" s="8" t="s">
        <v>132</v>
      </c>
      <c r="F514" s="9" t="str">
        <f aca="false">HYPERLINK("https://vtmf.veevavault.com/ui/#doc_info/857422/1/0", "28431754DIA3015-KOR--Approval (v1.0)")</f>
        <v>28431754DIA3015-KOR--Approval (v1.0)</v>
      </c>
      <c r="G514" s="8" t="s">
        <v>680</v>
      </c>
      <c r="H514" s="9" t="str">
        <f aca="false">HYPERLINK("https://vtmf.veevavault.com/ui/#doc_info/857422/1/0", "EDMS-GCO-66923672")</f>
        <v>EDMS-GCO-66923672</v>
      </c>
    </row>
    <row r="515" customFormat="false" ht="14.25" hidden="false" customHeight="true" outlineLevel="0" collapsed="false">
      <c r="E515" s="8" t="s">
        <v>132</v>
      </c>
      <c r="F515" s="9" t="str">
        <f aca="false">HYPERLINK("https://vtmf.veevavault.com/ui/#doc_info/6314615/1/0", "28431754DIA4003-KOR--Approval (v1.0)")</f>
        <v>28431754DIA4003-KOR--Approval (v1.0)</v>
      </c>
      <c r="G515" s="8" t="s">
        <v>681</v>
      </c>
      <c r="H515" s="9" t="str">
        <f aca="false">HYPERLINK("https://vtmf.veevavault.com/ui/#doc_info/6314615/1/0", "VTMF-2537936")</f>
        <v>VTMF-2537936</v>
      </c>
    </row>
    <row r="516" customFormat="false" ht="14.25" hidden="false" customHeight="true" outlineLevel="0" collapsed="false">
      <c r="E516" s="8" t="s">
        <v>132</v>
      </c>
      <c r="F516" s="9" t="str">
        <f aca="false">HYPERLINK("https://vtmf.veevavault.com/ui/#doc_info/6314616/1/0", "28431754DIA4003-KOR--Approval (v1.0)")</f>
        <v>28431754DIA4003-KOR--Approval (v1.0)</v>
      </c>
      <c r="G516" s="8" t="s">
        <v>682</v>
      </c>
      <c r="H516" s="9" t="str">
        <f aca="false">HYPERLINK("https://vtmf.veevavault.com/ui/#doc_info/6314616/1/0", "VTMF-2537937")</f>
        <v>VTMF-2537937</v>
      </c>
    </row>
    <row r="517" customFormat="false" ht="14.25" hidden="false" customHeight="true" outlineLevel="0" collapsed="false">
      <c r="E517" s="8" t="s">
        <v>132</v>
      </c>
      <c r="F517" s="9" t="str">
        <f aca="false">HYPERLINK("https://vtmf.veevavault.com/ui/#doc_info/6314617/1/0", "28431754DIA4003-KOR--Approval (v1.0)")</f>
        <v>28431754DIA4003-KOR--Approval (v1.0)</v>
      </c>
      <c r="G517" s="8" t="s">
        <v>683</v>
      </c>
      <c r="H517" s="9" t="str">
        <f aca="false">HYPERLINK("https://vtmf.veevavault.com/ui/#doc_info/6314617/1/0", "VTMF-2537938")</f>
        <v>VTMF-2537938</v>
      </c>
    </row>
    <row r="518" customFormat="false" ht="14.25" hidden="false" customHeight="true" outlineLevel="0" collapsed="false">
      <c r="E518" s="8" t="s">
        <v>132</v>
      </c>
      <c r="F518" s="9" t="str">
        <f aca="false">HYPERLINK("https://vtmf.veevavault.com/ui/#doc_info/6937003/1/0", "28431754DIA4003-KOR--Approval (v1.0)")</f>
        <v>28431754DIA4003-KOR--Approval (v1.0)</v>
      </c>
      <c r="G518" s="8" t="s">
        <v>684</v>
      </c>
      <c r="H518" s="9" t="str">
        <f aca="false">HYPERLINK("https://vtmf.veevavault.com/ui/#doc_info/6937003/1/0", "VTMF-3146740")</f>
        <v>VTMF-3146740</v>
      </c>
    </row>
    <row r="519" customFormat="false" ht="14.25" hidden="false" customHeight="true" outlineLevel="0" collapsed="false">
      <c r="E519" s="8" t="s">
        <v>132</v>
      </c>
      <c r="F519" s="9" t="str">
        <f aca="false">HYPERLINK("https://vtmf.veevavault.com/ui/#doc_info/7311004/1/0", "28431754DIA4003-KOR--Approval (v1.0)")</f>
        <v>28431754DIA4003-KOR--Approval (v1.0)</v>
      </c>
      <c r="G519" s="8" t="s">
        <v>685</v>
      </c>
      <c r="H519" s="9" t="str">
        <f aca="false">HYPERLINK("https://vtmf.veevavault.com/ui/#doc_info/7311004/1/0", "VTMF-3506050")</f>
        <v>VTMF-3506050</v>
      </c>
    </row>
    <row r="520" customFormat="false" ht="14.25" hidden="false" customHeight="true" outlineLevel="0" collapsed="false">
      <c r="E520" s="8" t="s">
        <v>132</v>
      </c>
      <c r="F520" s="9" t="str">
        <f aca="false">HYPERLINK("https://vtmf.veevavault.com/ui/#doc_info/7967041/1/0", "28431754DIA4003-KOR--Approval (v1.0)")</f>
        <v>28431754DIA4003-KOR--Approval (v1.0)</v>
      </c>
      <c r="G520" s="8" t="s">
        <v>686</v>
      </c>
      <c r="H520" s="9" t="str">
        <f aca="false">HYPERLINK("https://vtmf.veevavault.com/ui/#doc_info/7967041/1/0", "VTMF-4131896")</f>
        <v>VTMF-4131896</v>
      </c>
    </row>
    <row r="521" customFormat="false" ht="14.25" hidden="false" customHeight="true" outlineLevel="0" collapsed="false">
      <c r="E521" s="8" t="s">
        <v>132</v>
      </c>
      <c r="F521" s="9" t="str">
        <f aca="false">HYPERLINK("https://vtmf.veevavault.com/ui/#doc_info/8388461/1/0", "28431754DIA4003-KOR--Approval (v1.0)")</f>
        <v>28431754DIA4003-KOR--Approval (v1.0)</v>
      </c>
      <c r="G521" s="8" t="s">
        <v>687</v>
      </c>
      <c r="H521" s="9" t="str">
        <f aca="false">HYPERLINK("https://vtmf.veevavault.com/ui/#doc_info/8388461/1/0", "VTMF-4531255")</f>
        <v>VTMF-4531255</v>
      </c>
    </row>
    <row r="522" customFormat="false" ht="14.25" hidden="false" customHeight="true" outlineLevel="0" collapsed="false">
      <c r="E522" s="8" t="s">
        <v>132</v>
      </c>
      <c r="F522" s="9" t="str">
        <f aca="false">HYPERLINK("https://vtmf.veevavault.com/ui/#doc_info/3652511/1/0", "28431754DIA4003-KOR-Approval (v1.0)")</f>
        <v>28431754DIA4003-KOR-Approval (v1.0)</v>
      </c>
      <c r="G522" s="8" t="s">
        <v>688</v>
      </c>
      <c r="H522" s="9" t="str">
        <f aca="false">HYPERLINK("https://vtmf.veevavault.com/ui/#doc_info/3652511/1/0", "EDMS-GCO-83046542")</f>
        <v>EDMS-GCO-83046542</v>
      </c>
    </row>
    <row r="523" customFormat="false" ht="14.25" hidden="false" customHeight="true" outlineLevel="0" collapsed="false">
      <c r="E523" s="8" t="s">
        <v>132</v>
      </c>
      <c r="F523" s="9" t="str">
        <f aca="false">HYPERLINK("https://vtmf.veevavault.com/ui/#doc_info/8189478/0/1", "28431754DNE3001-KOR--Approval (v0.1)")</f>
        <v>28431754DNE3001-KOR--Approval (v0.1)</v>
      </c>
      <c r="G523" s="8"/>
      <c r="H523" s="9" t="str">
        <f aca="false">HYPERLINK("https://vtmf.veevavault.com/ui/#doc_info/8189478/0/1", "VTMF-4344004")</f>
        <v>VTMF-4344004</v>
      </c>
    </row>
    <row r="524" customFormat="false" ht="14.25" hidden="false" customHeight="true" outlineLevel="0" collapsed="false">
      <c r="E524" s="8" t="s">
        <v>132</v>
      </c>
      <c r="F524" s="9" t="str">
        <f aca="false">HYPERLINK("https://vtmf.veevavault.com/ui/#doc_info/772174/1/0", "37822681SCH2002-KOR--Approval (v1.0)")</f>
        <v>37822681SCH2002-KOR--Approval (v1.0)</v>
      </c>
      <c r="G524" s="8" t="s">
        <v>689</v>
      </c>
      <c r="H524" s="9" t="str">
        <f aca="false">HYPERLINK("https://vtmf.veevavault.com/ui/#doc_info/772174/1/0", "EDMS-GCO-5003072")</f>
        <v>EDMS-GCO-5003072</v>
      </c>
    </row>
    <row r="525" customFormat="false" ht="14.25" hidden="false" customHeight="true" outlineLevel="0" collapsed="false">
      <c r="E525" s="8" t="s">
        <v>132</v>
      </c>
      <c r="F525" s="9" t="str">
        <f aca="false">HYPERLINK("https://vtmf.veevavault.com/ui/#doc_info/772271/1/0", "37822681SCH2002-KOR--Approval (v1.0)")</f>
        <v>37822681SCH2002-KOR--Approval (v1.0)</v>
      </c>
      <c r="G525" s="8" t="s">
        <v>690</v>
      </c>
      <c r="H525" s="9" t="str">
        <f aca="false">HYPERLINK("https://vtmf.veevavault.com/ui/#doc_info/772271/1/0", "EDMS-GCO-5004351")</f>
        <v>EDMS-GCO-5004351</v>
      </c>
    </row>
    <row r="526" customFormat="false" ht="14.25" hidden="false" customHeight="true" outlineLevel="0" collapsed="false">
      <c r="E526" s="8" t="s">
        <v>132</v>
      </c>
      <c r="F526" s="9" t="str">
        <f aca="false">HYPERLINK("https://vtmf.veevavault.com/ui/#doc_info/772284/1/0", "37822681SCH2002-KOR--Approval (v1.0)")</f>
        <v>37822681SCH2002-KOR--Approval (v1.0)</v>
      </c>
      <c r="G526" s="8" t="s">
        <v>691</v>
      </c>
      <c r="H526" s="9" t="str">
        <f aca="false">HYPERLINK("https://vtmf.veevavault.com/ui/#doc_info/772284/1/0", "EDMS-GCO-5004357")</f>
        <v>EDMS-GCO-5004357</v>
      </c>
    </row>
    <row r="527" customFormat="false" ht="14.25" hidden="false" customHeight="true" outlineLevel="0" collapsed="false">
      <c r="E527" s="8" t="s">
        <v>132</v>
      </c>
      <c r="F527" s="9" t="str">
        <f aca="false">HYPERLINK("https://vtmf.veevavault.com/ui/#doc_info/772297/1/0", "37822681SCH2002-KOR--Approval (v1.0)")</f>
        <v>37822681SCH2002-KOR--Approval (v1.0)</v>
      </c>
      <c r="G527" s="8" t="s">
        <v>692</v>
      </c>
      <c r="H527" s="9" t="str">
        <f aca="false">HYPERLINK("https://vtmf.veevavault.com/ui/#doc_info/772297/1/0", "EDMS-GCO-5004360")</f>
        <v>EDMS-GCO-5004360</v>
      </c>
    </row>
    <row r="528" customFormat="false" ht="14.25" hidden="false" customHeight="true" outlineLevel="0" collapsed="false">
      <c r="E528" s="8" t="s">
        <v>132</v>
      </c>
      <c r="F528" s="9" t="str">
        <f aca="false">HYPERLINK("https://vtmf.veevavault.com/ui/#doc_info/772306/1/0", "37822681SCH2002-KOR--Approval (v1.0)")</f>
        <v>37822681SCH2002-KOR--Approval (v1.0)</v>
      </c>
      <c r="G528" s="8" t="s">
        <v>693</v>
      </c>
      <c r="H528" s="9" t="str">
        <f aca="false">HYPERLINK("https://vtmf.veevavault.com/ui/#doc_info/772306/1/0", "EDMS-GCO-5004363")</f>
        <v>EDMS-GCO-5004363</v>
      </c>
    </row>
    <row r="529" customFormat="false" ht="14.25" hidden="false" customHeight="true" outlineLevel="0" collapsed="false">
      <c r="E529" s="8" t="s">
        <v>132</v>
      </c>
      <c r="F529" s="9" t="str">
        <f aca="false">HYPERLINK("https://vtmf.veevavault.com/ui/#doc_info/787924/1/0", "37822681SCH2002-KOR--Approval (v1.0)")</f>
        <v>37822681SCH2002-KOR--Approval (v1.0)</v>
      </c>
      <c r="G529" s="8" t="s">
        <v>694</v>
      </c>
      <c r="H529" s="9" t="str">
        <f aca="false">HYPERLINK("https://vtmf.veevavault.com/ui/#doc_info/787924/1/0", "EDMS-GCO-10773279")</f>
        <v>EDMS-GCO-10773279</v>
      </c>
    </row>
    <row r="530" customFormat="false" ht="14.25" hidden="false" customHeight="true" outlineLevel="0" collapsed="false">
      <c r="E530" s="8" t="s">
        <v>132</v>
      </c>
      <c r="F530" s="9" t="str">
        <f aca="false">HYPERLINK("https://vtmf.veevavault.com/ui/#doc_info/807237/1/0", "37822681SCH2002-KOR--Approval (v1.0)")</f>
        <v>37822681SCH2002-KOR--Approval (v1.0)</v>
      </c>
      <c r="G530" s="8" t="s">
        <v>695</v>
      </c>
      <c r="H530" s="9" t="str">
        <f aca="false">HYPERLINK("https://vtmf.veevavault.com/ui/#doc_info/807237/1/0", "EDMS-GCO-18418516")</f>
        <v>EDMS-GCO-18418516</v>
      </c>
    </row>
    <row r="531" customFormat="false" ht="14.25" hidden="false" customHeight="true" outlineLevel="0" collapsed="false">
      <c r="E531" s="8" t="s">
        <v>132</v>
      </c>
      <c r="F531" s="9" t="str">
        <f aca="false">HYPERLINK("https://vtmf.veevavault.com/ui/#doc_info/63899/1/0", "38518168ARA2001-KOR-Approval (v1.0)")</f>
        <v>38518168ARA2001-KOR-Approval (v1.0)</v>
      </c>
      <c r="G531" s="8" t="s">
        <v>696</v>
      </c>
      <c r="H531" s="9" t="str">
        <f aca="false">HYPERLINK("https://vtmf.veevavault.com/ui/#doc_info/63899/1/0", "EDMS-GCO-17421846")</f>
        <v>EDMS-GCO-17421846</v>
      </c>
    </row>
    <row r="532" customFormat="false" ht="14.25" hidden="false" customHeight="true" outlineLevel="0" collapsed="false">
      <c r="E532" s="8" t="s">
        <v>132</v>
      </c>
      <c r="F532" s="9" t="str">
        <f aca="false">HYPERLINK("https://vtmf.veevavault.com/ui/#doc_info/63907/1/0", "38518168ARA2001-KOR-Approval (v1.0)")</f>
        <v>38518168ARA2001-KOR-Approval (v1.0)</v>
      </c>
      <c r="G532" s="8" t="s">
        <v>697</v>
      </c>
      <c r="H532" s="9" t="str">
        <f aca="false">HYPERLINK("https://vtmf.veevavault.com/ui/#doc_info/63907/1/0", "EDMS-GCO-17421850")</f>
        <v>EDMS-GCO-17421850</v>
      </c>
    </row>
    <row r="533" customFormat="false" ht="14.25" hidden="false" customHeight="true" outlineLevel="0" collapsed="false">
      <c r="E533" s="8" t="s">
        <v>132</v>
      </c>
      <c r="F533" s="9" t="str">
        <f aca="false">HYPERLINK("https://vtmf.veevavault.com/ui/#doc_info/63932/1/0", "38518168ARA2001-KOR-Approval (v1.0)")</f>
        <v>38518168ARA2001-KOR-Approval (v1.0)</v>
      </c>
      <c r="G533" s="8" t="s">
        <v>698</v>
      </c>
      <c r="H533" s="9" t="str">
        <f aca="false">HYPERLINK("https://vtmf.veevavault.com/ui/#doc_info/63932/1/0", "EDMS-GCO-17421862")</f>
        <v>EDMS-GCO-17421862</v>
      </c>
    </row>
    <row r="534" customFormat="false" ht="14.25" hidden="false" customHeight="true" outlineLevel="0" collapsed="false">
      <c r="E534" s="8" t="s">
        <v>132</v>
      </c>
      <c r="F534" s="9" t="str">
        <f aca="false">HYPERLINK("https://vtmf.veevavault.com/ui/#doc_info/63942/1/0", "38518168ARA2001-KOR-Approval (v1.0)")</f>
        <v>38518168ARA2001-KOR-Approval (v1.0)</v>
      </c>
      <c r="G534" s="8" t="s">
        <v>699</v>
      </c>
      <c r="H534" s="9" t="str">
        <f aca="false">HYPERLINK("https://vtmf.veevavault.com/ui/#doc_info/63942/1/0", "EDMS-GCO-17421867")</f>
        <v>EDMS-GCO-17421867</v>
      </c>
    </row>
    <row r="535" customFormat="false" ht="14.25" hidden="false" customHeight="true" outlineLevel="0" collapsed="false">
      <c r="E535" s="8" t="s">
        <v>132</v>
      </c>
      <c r="F535" s="9" t="str">
        <f aca="false">HYPERLINK("https://vtmf.veevavault.com/ui/#doc_info/63954/1/0", "38518168ARA2001-KOR-Approval (v1.0)")</f>
        <v>38518168ARA2001-KOR-Approval (v1.0)</v>
      </c>
      <c r="G535" s="8" t="s">
        <v>700</v>
      </c>
      <c r="H535" s="9" t="str">
        <f aca="false">HYPERLINK("https://vtmf.veevavault.com/ui/#doc_info/63954/1/0", "EDMS-GCO-17421871")</f>
        <v>EDMS-GCO-17421871</v>
      </c>
    </row>
    <row r="536" customFormat="false" ht="14.25" hidden="false" customHeight="true" outlineLevel="0" collapsed="false">
      <c r="E536" s="8" t="s">
        <v>132</v>
      </c>
      <c r="F536" s="9" t="str">
        <f aca="false">HYPERLINK("https://vtmf.veevavault.com/ui/#doc_info/65283/1/0", "38518168ARA2001-KOR-Approval (v1.0)")</f>
        <v>38518168ARA2001-KOR-Approval (v1.0)</v>
      </c>
      <c r="G536" s="8" t="s">
        <v>701</v>
      </c>
      <c r="H536" s="9" t="str">
        <f aca="false">HYPERLINK("https://vtmf.veevavault.com/ui/#doc_info/65283/1/0", "EDMS-GCO-17496683")</f>
        <v>EDMS-GCO-17496683</v>
      </c>
    </row>
    <row r="537" customFormat="false" ht="14.25" hidden="false" customHeight="true" outlineLevel="0" collapsed="false">
      <c r="E537" s="8" t="s">
        <v>132</v>
      </c>
      <c r="F537" s="9" t="str">
        <f aca="false">HYPERLINK("https://vtmf.veevavault.com/ui/#doc_info/65290/1/0", "38518168ARA2001-KOR-Approval (v1.0)")</f>
        <v>38518168ARA2001-KOR-Approval (v1.0)</v>
      </c>
      <c r="G537" s="8" t="s">
        <v>702</v>
      </c>
      <c r="H537" s="9" t="str">
        <f aca="false">HYPERLINK("https://vtmf.veevavault.com/ui/#doc_info/65290/1/0", "EDMS-GCO-17496685")</f>
        <v>EDMS-GCO-17496685</v>
      </c>
    </row>
    <row r="538" customFormat="false" ht="14.25" hidden="false" customHeight="true" outlineLevel="0" collapsed="false">
      <c r="E538" s="8" t="s">
        <v>132</v>
      </c>
      <c r="F538" s="9" t="str">
        <f aca="false">HYPERLINK("https://vtmf.veevavault.com/ui/#doc_info/97874/1/0", "38518168ARA2001-KOR-Approval (v1.0)")</f>
        <v>38518168ARA2001-KOR-Approval (v1.0)</v>
      </c>
      <c r="G538" s="8" t="s">
        <v>703</v>
      </c>
      <c r="H538" s="9" t="str">
        <f aca="false">HYPERLINK("https://vtmf.veevavault.com/ui/#doc_info/97874/1/0", "EDMS-GCO-22183159")</f>
        <v>EDMS-GCO-22183159</v>
      </c>
    </row>
    <row r="539" customFormat="false" ht="14.25" hidden="false" customHeight="true" outlineLevel="0" collapsed="false">
      <c r="E539" s="8" t="s">
        <v>132</v>
      </c>
      <c r="F539" s="9" t="str">
        <f aca="false">HYPERLINK("https://vtmf.veevavault.com/ui/#doc_info/97887/1/0", "38518168ARA2001-KOR-Approval (v1.0)")</f>
        <v>38518168ARA2001-KOR-Approval (v1.0)</v>
      </c>
      <c r="G539" s="8" t="s">
        <v>704</v>
      </c>
      <c r="H539" s="9" t="str">
        <f aca="false">HYPERLINK("https://vtmf.veevavault.com/ui/#doc_info/97887/1/0", "EDMS-GCO-22183162")</f>
        <v>EDMS-GCO-22183162</v>
      </c>
    </row>
    <row r="540" customFormat="false" ht="14.25" hidden="false" customHeight="true" outlineLevel="0" collapsed="false">
      <c r="E540" s="8" t="s">
        <v>132</v>
      </c>
      <c r="F540" s="9" t="str">
        <f aca="false">HYPERLINK("https://vtmf.veevavault.com/ui/#doc_info/97899/1/0", "38518168ARA2001-KOR-Approval (v1.0)")</f>
        <v>38518168ARA2001-KOR-Approval (v1.0)</v>
      </c>
      <c r="G540" s="8" t="s">
        <v>705</v>
      </c>
      <c r="H540" s="9" t="str">
        <f aca="false">HYPERLINK("https://vtmf.veevavault.com/ui/#doc_info/97899/1/0", "EDMS-GCO-22183164")</f>
        <v>EDMS-GCO-22183164</v>
      </c>
    </row>
    <row r="541" customFormat="false" ht="14.25" hidden="false" customHeight="true" outlineLevel="0" collapsed="false">
      <c r="E541" s="8" t="s">
        <v>132</v>
      </c>
      <c r="F541" s="9" t="str">
        <f aca="false">HYPERLINK("https://vtmf.veevavault.com/ui/#doc_info/97908/1/0", "38518168ARA2001-KOR-Approval (v1.0)")</f>
        <v>38518168ARA2001-KOR-Approval (v1.0)</v>
      </c>
      <c r="G541" s="8" t="s">
        <v>706</v>
      </c>
      <c r="H541" s="9" t="str">
        <f aca="false">HYPERLINK("https://vtmf.veevavault.com/ui/#doc_info/97908/1/0", "EDMS-GCO-22183166")</f>
        <v>EDMS-GCO-22183166</v>
      </c>
    </row>
    <row r="542" customFormat="false" ht="14.25" hidden="false" customHeight="true" outlineLevel="0" collapsed="false">
      <c r="E542" s="8" t="s">
        <v>132</v>
      </c>
      <c r="F542" s="9" t="str">
        <f aca="false">HYPERLINK("https://vtmf.veevavault.com/ui/#doc_info/97918/1/0", "38518168ARA2001-KOR-Approval (v1.0)")</f>
        <v>38518168ARA2001-KOR-Approval (v1.0)</v>
      </c>
      <c r="G542" s="8" t="s">
        <v>707</v>
      </c>
      <c r="H542" s="9" t="str">
        <f aca="false">HYPERLINK("https://vtmf.veevavault.com/ui/#doc_info/97918/1/0", "EDMS-GCO-22183168")</f>
        <v>EDMS-GCO-22183168</v>
      </c>
    </row>
    <row r="543" customFormat="false" ht="14.25" hidden="false" customHeight="true" outlineLevel="0" collapsed="false">
      <c r="E543" s="8" t="s">
        <v>132</v>
      </c>
      <c r="F543" s="9" t="str">
        <f aca="false">HYPERLINK("https://vtmf.veevavault.com/ui/#doc_info/97927/1/0", "38518168ARA2001-KOR-Approval (v1.0)")</f>
        <v>38518168ARA2001-KOR-Approval (v1.0)</v>
      </c>
      <c r="G543" s="8" t="s">
        <v>708</v>
      </c>
      <c r="H543" s="9" t="str">
        <f aca="false">HYPERLINK("https://vtmf.veevavault.com/ui/#doc_info/97927/1/0", "EDMS-GCO-22183170")</f>
        <v>EDMS-GCO-22183170</v>
      </c>
    </row>
    <row r="544" customFormat="false" ht="14.25" hidden="false" customHeight="true" outlineLevel="0" collapsed="false">
      <c r="E544" s="8" t="s">
        <v>132</v>
      </c>
      <c r="F544" s="9" t="str">
        <f aca="false">HYPERLINK("https://vtmf.veevavault.com/ui/#doc_info/97936/1/0", "38518168ARA2001-KOR-Approval (v1.0)")</f>
        <v>38518168ARA2001-KOR-Approval (v1.0)</v>
      </c>
      <c r="G544" s="8" t="s">
        <v>709</v>
      </c>
      <c r="H544" s="9" t="str">
        <f aca="false">HYPERLINK("https://vtmf.veevavault.com/ui/#doc_info/97936/1/0", "EDMS-GCO-22183173")</f>
        <v>EDMS-GCO-22183173</v>
      </c>
    </row>
    <row r="545" customFormat="false" ht="14.25" hidden="false" customHeight="true" outlineLevel="0" collapsed="false">
      <c r="E545" s="8" t="s">
        <v>132</v>
      </c>
      <c r="F545" s="9" t="str">
        <f aca="false">HYPERLINK("https://vtmf.veevavault.com/ui/#doc_info/97953/1/0", "38518168ARA2001-KOR-Approval (v1.0)")</f>
        <v>38518168ARA2001-KOR-Approval (v1.0)</v>
      </c>
      <c r="G545" s="8" t="s">
        <v>710</v>
      </c>
      <c r="H545" s="9" t="str">
        <f aca="false">HYPERLINK("https://vtmf.veevavault.com/ui/#doc_info/97953/1/0", "EDMS-GCO-22183238")</f>
        <v>EDMS-GCO-22183238</v>
      </c>
    </row>
    <row r="546" customFormat="false" ht="14.25" hidden="false" customHeight="true" outlineLevel="0" collapsed="false">
      <c r="E546" s="8" t="s">
        <v>132</v>
      </c>
      <c r="F546" s="9" t="str">
        <f aca="false">HYPERLINK("https://vtmf.veevavault.com/ui/#doc_info/97960/1/0", "38518168ARA2001-KOR-Approval (v1.0)")</f>
        <v>38518168ARA2001-KOR-Approval (v1.0)</v>
      </c>
      <c r="G546" s="8" t="s">
        <v>711</v>
      </c>
      <c r="H546" s="9" t="str">
        <f aca="false">HYPERLINK("https://vtmf.veevavault.com/ui/#doc_info/97960/1/0", "EDMS-GCO-22183241")</f>
        <v>EDMS-GCO-22183241</v>
      </c>
    </row>
    <row r="547" customFormat="false" ht="14.25" hidden="false" customHeight="true" outlineLevel="0" collapsed="false">
      <c r="E547" s="8" t="s">
        <v>132</v>
      </c>
      <c r="F547" s="9" t="str">
        <f aca="false">HYPERLINK("https://vtmf.veevavault.com/ui/#doc_info/97972/1/0", "38518168ARA2001-KOR-Approval (v1.0)")</f>
        <v>38518168ARA2001-KOR-Approval (v1.0)</v>
      </c>
      <c r="G547" s="8" t="s">
        <v>712</v>
      </c>
      <c r="H547" s="9" t="str">
        <f aca="false">HYPERLINK("https://vtmf.veevavault.com/ui/#doc_info/97972/1/0", "EDMS-GCO-22183243")</f>
        <v>EDMS-GCO-22183243</v>
      </c>
    </row>
    <row r="548" customFormat="false" ht="14.25" hidden="false" customHeight="true" outlineLevel="0" collapsed="false">
      <c r="E548" s="8" t="s">
        <v>132</v>
      </c>
      <c r="F548" s="9" t="str">
        <f aca="false">HYPERLINK("https://vtmf.veevavault.com/ui/#doc_info/97984/1/0", "38518168ARA2001-KOR-Approval (v1.0)")</f>
        <v>38518168ARA2001-KOR-Approval (v1.0)</v>
      </c>
      <c r="G548" s="8" t="s">
        <v>713</v>
      </c>
      <c r="H548" s="9" t="str">
        <f aca="false">HYPERLINK("https://vtmf.veevavault.com/ui/#doc_info/97984/1/0", "EDMS-GCO-22183245")</f>
        <v>EDMS-GCO-22183245</v>
      </c>
    </row>
    <row r="549" customFormat="false" ht="14.25" hidden="false" customHeight="true" outlineLevel="0" collapsed="false">
      <c r="E549" s="8" t="s">
        <v>132</v>
      </c>
      <c r="F549" s="9" t="str">
        <f aca="false">HYPERLINK("https://vtmf.veevavault.com/ui/#doc_info/97992/1/0", "38518168ARA2001-KOR-Approval (v1.0)")</f>
        <v>38518168ARA2001-KOR-Approval (v1.0)</v>
      </c>
      <c r="G549" s="8" t="s">
        <v>714</v>
      </c>
      <c r="H549" s="9" t="str">
        <f aca="false">HYPERLINK("https://vtmf.veevavault.com/ui/#doc_info/97992/1/0", "EDMS-GCO-22183247")</f>
        <v>EDMS-GCO-22183247</v>
      </c>
    </row>
    <row r="550" customFormat="false" ht="14.25" hidden="false" customHeight="true" outlineLevel="0" collapsed="false">
      <c r="E550" s="8" t="s">
        <v>132</v>
      </c>
      <c r="F550" s="9" t="str">
        <f aca="false">HYPERLINK("https://vtmf.veevavault.com/ui/#doc_info/98003/1/0", "38518168ARA2001-KOR-Approval (v1.0)")</f>
        <v>38518168ARA2001-KOR-Approval (v1.0)</v>
      </c>
      <c r="G550" s="8" t="s">
        <v>715</v>
      </c>
      <c r="H550" s="9" t="str">
        <f aca="false">HYPERLINK("https://vtmf.veevavault.com/ui/#doc_info/98003/1/0", "EDMS-GCO-22183249")</f>
        <v>EDMS-GCO-22183249</v>
      </c>
    </row>
    <row r="551" customFormat="false" ht="14.25" hidden="false" customHeight="true" outlineLevel="0" collapsed="false">
      <c r="E551" s="8" t="s">
        <v>132</v>
      </c>
      <c r="F551" s="9" t="str">
        <f aca="false">HYPERLINK("https://vtmf.veevavault.com/ui/#doc_info/104292/1/0", "38518168ARA2001-KOR-Approval (v1.0)")</f>
        <v>38518168ARA2001-KOR-Approval (v1.0)</v>
      </c>
      <c r="G551" s="8" t="s">
        <v>716</v>
      </c>
      <c r="H551" s="9" t="str">
        <f aca="false">HYPERLINK("https://vtmf.veevavault.com/ui/#doc_info/104292/1/0", "EDMS-GCO-23012184")</f>
        <v>EDMS-GCO-23012184</v>
      </c>
    </row>
    <row r="552" customFormat="false" ht="14.25" hidden="false" customHeight="true" outlineLevel="0" collapsed="false">
      <c r="E552" s="8" t="s">
        <v>132</v>
      </c>
      <c r="F552" s="9" t="str">
        <f aca="false">HYPERLINK("https://vtmf.veevavault.com/ui/#doc_info/104303/1/0", "38518168ARA2001-KOR-Approval (v1.0)")</f>
        <v>38518168ARA2001-KOR-Approval (v1.0)</v>
      </c>
      <c r="G552" s="8" t="s">
        <v>717</v>
      </c>
      <c r="H552" s="9" t="str">
        <f aca="false">HYPERLINK("https://vtmf.veevavault.com/ui/#doc_info/104303/1/0", "EDMS-GCO-23012187")</f>
        <v>EDMS-GCO-23012187</v>
      </c>
    </row>
    <row r="553" customFormat="false" ht="14.25" hidden="false" customHeight="true" outlineLevel="0" collapsed="false">
      <c r="E553" s="8" t="s">
        <v>132</v>
      </c>
      <c r="F553" s="9" t="str">
        <f aca="false">HYPERLINK("https://vtmf.veevavault.com/ui/#doc_info/112663/1/0", "38518168ARA2001-KOR-Approval (v1.0)")</f>
        <v>38518168ARA2001-KOR-Approval (v1.0)</v>
      </c>
      <c r="G553" s="8" t="s">
        <v>718</v>
      </c>
      <c r="H553" s="9" t="str">
        <f aca="false">HYPERLINK("https://vtmf.veevavault.com/ui/#doc_info/112663/1/0", "EDMS-GCO-24217971")</f>
        <v>EDMS-GCO-24217971</v>
      </c>
    </row>
    <row r="554" customFormat="false" ht="14.25" hidden="false" customHeight="true" outlineLevel="0" collapsed="false">
      <c r="E554" s="8" t="s">
        <v>132</v>
      </c>
      <c r="F554" s="9" t="str">
        <f aca="false">HYPERLINK("https://vtmf.veevavault.com/ui/#doc_info/112689/1/0", "38518168ARA2001-KOR-Approval (v1.0)")</f>
        <v>38518168ARA2001-KOR-Approval (v1.0)</v>
      </c>
      <c r="G554" s="8" t="s">
        <v>719</v>
      </c>
      <c r="H554" s="9" t="str">
        <f aca="false">HYPERLINK("https://vtmf.veevavault.com/ui/#doc_info/112689/1/0", "EDMS-GCO-24217976")</f>
        <v>EDMS-GCO-24217976</v>
      </c>
    </row>
    <row r="555" customFormat="false" ht="14.25" hidden="false" customHeight="true" outlineLevel="0" collapsed="false">
      <c r="E555" s="8" t="s">
        <v>132</v>
      </c>
      <c r="F555" s="9" t="str">
        <f aca="false">HYPERLINK("https://vtmf.veevavault.com/ui/#doc_info/1693461/1/0", "39758979ASH2001-KOR--Approval (v1.0)")</f>
        <v>39758979ASH2001-KOR--Approval (v1.0)</v>
      </c>
      <c r="G555" s="8" t="s">
        <v>720</v>
      </c>
      <c r="H555" s="9" t="str">
        <f aca="false">HYPERLINK("https://vtmf.veevavault.com/ui/#doc_info/1693461/1/0", "EDMS-GCO-14351484")</f>
        <v>EDMS-GCO-14351484</v>
      </c>
    </row>
    <row r="556" customFormat="false" ht="14.25" hidden="false" customHeight="true" outlineLevel="0" collapsed="false">
      <c r="E556" s="8" t="s">
        <v>132</v>
      </c>
      <c r="F556" s="9" t="str">
        <f aca="false">HYPERLINK("https://vtmf.veevavault.com/ui/#doc_info/1693475/1/0", "39758979ASH2001-KOR--Approval (v1.0)")</f>
        <v>39758979ASH2001-KOR--Approval (v1.0)</v>
      </c>
      <c r="G556" s="8" t="s">
        <v>721</v>
      </c>
      <c r="H556" s="9" t="str">
        <f aca="false">HYPERLINK("https://vtmf.veevavault.com/ui/#doc_info/1693475/1/0", "EDMS-GCO-14351491")</f>
        <v>EDMS-GCO-14351491</v>
      </c>
    </row>
    <row r="557" customFormat="false" ht="14.25" hidden="false" customHeight="true" outlineLevel="0" collapsed="false">
      <c r="E557" s="8" t="s">
        <v>132</v>
      </c>
      <c r="F557" s="9" t="str">
        <f aca="false">HYPERLINK("https://vtmf.veevavault.com/ui/#doc_info/1693479/1/0", "39758979ASH2001-KOR--Approval (v1.0)")</f>
        <v>39758979ASH2001-KOR--Approval (v1.0)</v>
      </c>
      <c r="G557" s="8" t="s">
        <v>722</v>
      </c>
      <c r="H557" s="9" t="str">
        <f aca="false">HYPERLINK("https://vtmf.veevavault.com/ui/#doc_info/1693479/1/0", "EDMS-GCO-14351520")</f>
        <v>EDMS-GCO-14351520</v>
      </c>
    </row>
    <row r="558" customFormat="false" ht="14.25" hidden="false" customHeight="true" outlineLevel="0" collapsed="false">
      <c r="E558" s="8" t="s">
        <v>132</v>
      </c>
      <c r="F558" s="9" t="str">
        <f aca="false">HYPERLINK("https://vtmf.veevavault.com/ui/#doc_info/1693490/1/0", "39758979ASH2001-KOR--Approval (v1.0)")</f>
        <v>39758979ASH2001-KOR--Approval (v1.0)</v>
      </c>
      <c r="G558" s="8" t="s">
        <v>723</v>
      </c>
      <c r="H558" s="9" t="str">
        <f aca="false">HYPERLINK("https://vtmf.veevavault.com/ui/#doc_info/1693490/1/0", "EDMS-GCO-14351528")</f>
        <v>EDMS-GCO-14351528</v>
      </c>
    </row>
    <row r="559" customFormat="false" ht="14.25" hidden="false" customHeight="true" outlineLevel="0" collapsed="false">
      <c r="E559" s="8" t="s">
        <v>132</v>
      </c>
      <c r="F559" s="9" t="str">
        <f aca="false">HYPERLINK("https://vtmf.veevavault.com/ui/#doc_info/1693495/1/0", "39758979ASH2001-KOR--Approval (v1.0)")</f>
        <v>39758979ASH2001-KOR--Approval (v1.0)</v>
      </c>
      <c r="G559" s="8" t="s">
        <v>724</v>
      </c>
      <c r="H559" s="9" t="str">
        <f aca="false">HYPERLINK("https://vtmf.veevavault.com/ui/#doc_info/1693495/1/0", "EDMS-GCO-14351587")</f>
        <v>EDMS-GCO-14351587</v>
      </c>
    </row>
    <row r="560" customFormat="false" ht="14.25" hidden="false" customHeight="true" outlineLevel="0" collapsed="false">
      <c r="E560" s="8" t="s">
        <v>132</v>
      </c>
      <c r="F560" s="9" t="str">
        <f aca="false">HYPERLINK("https://vtmf.veevavault.com/ui/#doc_info/1693504/1/0", "39758979ASH2001-KOR--Approval (v1.0)")</f>
        <v>39758979ASH2001-KOR--Approval (v1.0)</v>
      </c>
      <c r="G560" s="8" t="s">
        <v>725</v>
      </c>
      <c r="H560" s="9" t="str">
        <f aca="false">HYPERLINK("https://vtmf.veevavault.com/ui/#doc_info/1693504/1/0", "EDMS-GCO-14351595")</f>
        <v>EDMS-GCO-14351595</v>
      </c>
    </row>
    <row r="561" customFormat="false" ht="14.25" hidden="false" customHeight="true" outlineLevel="0" collapsed="false">
      <c r="E561" s="8" t="s">
        <v>132</v>
      </c>
      <c r="F561" s="9" t="str">
        <f aca="false">HYPERLINK("https://vtmf.veevavault.com/ui/#doc_info/1546413/1/0", "40346527ARA2001-KOR--Approval (v1.0)")</f>
        <v>40346527ARA2001-KOR--Approval (v1.0)</v>
      </c>
      <c r="G561" s="8" t="s">
        <v>726</v>
      </c>
      <c r="H561" s="9" t="str">
        <f aca="false">HYPERLINK("https://vtmf.veevavault.com/ui/#doc_info/1546413/1/0", "EDMS-GCO-46149230")</f>
        <v>EDMS-GCO-46149230</v>
      </c>
    </row>
    <row r="562" customFormat="false" ht="14.25" hidden="false" customHeight="true" outlineLevel="0" collapsed="false">
      <c r="E562" s="8" t="s">
        <v>132</v>
      </c>
      <c r="F562" s="9" t="str">
        <f aca="false">HYPERLINK("https://vtmf.veevavault.com/ui/#doc_info/1558362/1/0", "40346527ARA2001-KOR--Approval (v1.0)")</f>
        <v>40346527ARA2001-KOR--Approval (v1.0)</v>
      </c>
      <c r="G562" s="8" t="s">
        <v>727</v>
      </c>
      <c r="H562" s="9" t="str">
        <f aca="false">HYPERLINK("https://vtmf.veevavault.com/ui/#doc_info/1558362/1/0", "EDMS-GCO-47507584")</f>
        <v>EDMS-GCO-47507584</v>
      </c>
    </row>
    <row r="563" customFormat="false" ht="14.25" hidden="false" customHeight="true" outlineLevel="0" collapsed="false">
      <c r="E563" s="8" t="s">
        <v>132</v>
      </c>
      <c r="F563" s="9" t="str">
        <f aca="false">HYPERLINK("https://vtmf.veevavault.com/ui/#doc_info/1558411/1/0", "40346527ARA2001-KOR--Approval (v1.0)")</f>
        <v>40346527ARA2001-KOR--Approval (v1.0)</v>
      </c>
      <c r="G563" s="8" t="s">
        <v>728</v>
      </c>
      <c r="H563" s="9" t="str">
        <f aca="false">HYPERLINK("https://vtmf.veevavault.com/ui/#doc_info/1558411/1/0", "EDMS-GCO-47507587")</f>
        <v>EDMS-GCO-47507587</v>
      </c>
    </row>
    <row r="564" customFormat="false" ht="14.25" hidden="false" customHeight="true" outlineLevel="0" collapsed="false">
      <c r="E564" s="8" t="s">
        <v>132</v>
      </c>
      <c r="F564" s="9" t="str">
        <f aca="false">HYPERLINK("https://vtmf.veevavault.com/ui/#doc_info/1558425/1/0", "40346527ARA2001-KOR--Approval (v1.0)")</f>
        <v>40346527ARA2001-KOR--Approval (v1.0)</v>
      </c>
      <c r="G564" s="8" t="s">
        <v>729</v>
      </c>
      <c r="H564" s="9" t="str">
        <f aca="false">HYPERLINK("https://vtmf.veevavault.com/ui/#doc_info/1558425/1/0", "EDMS-GCO-47507589")</f>
        <v>EDMS-GCO-47507589</v>
      </c>
    </row>
    <row r="565" customFormat="false" ht="14.25" hidden="false" customHeight="true" outlineLevel="0" collapsed="false">
      <c r="E565" s="8" t="s">
        <v>132</v>
      </c>
      <c r="F565" s="9" t="str">
        <f aca="false">HYPERLINK("https://vtmf.veevavault.com/ui/#doc_info/1558445/1/0", "40346527ARA2001-KOR--Approval (v1.0)")</f>
        <v>40346527ARA2001-KOR--Approval (v1.0)</v>
      </c>
      <c r="G565" s="8" t="s">
        <v>730</v>
      </c>
      <c r="H565" s="9" t="str">
        <f aca="false">HYPERLINK("https://vtmf.veevavault.com/ui/#doc_info/1558445/1/0", "EDMS-GCO-47508866")</f>
        <v>EDMS-GCO-47508866</v>
      </c>
    </row>
    <row r="566" customFormat="false" ht="14.25" hidden="false" customHeight="true" outlineLevel="0" collapsed="false">
      <c r="E566" s="8" t="s">
        <v>132</v>
      </c>
      <c r="F566" s="9" t="str">
        <f aca="false">HYPERLINK("https://vtmf.veevavault.com/ui/#doc_info/1562043/1/0", "40346527ARA2001-KOR--Approval (v1.0)")</f>
        <v>40346527ARA2001-KOR--Approval (v1.0)</v>
      </c>
      <c r="G566" s="8" t="s">
        <v>731</v>
      </c>
      <c r="H566" s="9" t="str">
        <f aca="false">HYPERLINK("https://vtmf.veevavault.com/ui/#doc_info/1562043/1/0", "EDMS-GCO-47954864")</f>
        <v>EDMS-GCO-47954864</v>
      </c>
    </row>
    <row r="567" customFormat="false" ht="14.25" hidden="false" customHeight="true" outlineLevel="0" collapsed="false">
      <c r="E567" s="8" t="s">
        <v>132</v>
      </c>
      <c r="F567" s="9" t="str">
        <f aca="false">HYPERLINK("https://vtmf.veevavault.com/ui/#doc_info/1562053/1/0", "40346527ARA2001-KOR--Approval (v1.0)")</f>
        <v>40346527ARA2001-KOR--Approval (v1.0)</v>
      </c>
      <c r="G567" s="8" t="s">
        <v>732</v>
      </c>
      <c r="H567" s="9" t="str">
        <f aca="false">HYPERLINK("https://vtmf.veevavault.com/ui/#doc_info/1562053/1/0", "EDMS-GCO-47954865")</f>
        <v>EDMS-GCO-47954865</v>
      </c>
    </row>
    <row r="568" customFormat="false" ht="14.25" hidden="false" customHeight="true" outlineLevel="0" collapsed="false">
      <c r="E568" s="8" t="s">
        <v>132</v>
      </c>
      <c r="F568" s="9" t="str">
        <f aca="false">HYPERLINK("https://vtmf.veevavault.com/ui/#doc_info/1579004/1/0", "40346527ARA2001-KOR--Approval (v1.0)")</f>
        <v>40346527ARA2001-KOR--Approval (v1.0)</v>
      </c>
      <c r="G568" s="8" t="s">
        <v>733</v>
      </c>
      <c r="H568" s="9" t="str">
        <f aca="false">HYPERLINK("https://vtmf.veevavault.com/ui/#doc_info/1579004/1/0", "EDMS-GCO-52786673")</f>
        <v>EDMS-GCO-52786673</v>
      </c>
    </row>
    <row r="569" customFormat="false" ht="14.25" hidden="false" customHeight="true" outlineLevel="0" collapsed="false">
      <c r="E569" s="8" t="s">
        <v>132</v>
      </c>
      <c r="F569" s="9" t="str">
        <f aca="false">HYPERLINK("https://vtmf.veevavault.com/ui/#doc_info/1594316/1/0", "40346527ARA2001-KOR--Approval (v1.0)")</f>
        <v>40346527ARA2001-KOR--Approval (v1.0)</v>
      </c>
      <c r="G569" s="8" t="s">
        <v>734</v>
      </c>
      <c r="H569" s="9" t="str">
        <f aca="false">HYPERLINK("https://vtmf.veevavault.com/ui/#doc_info/1594316/1/0", "EDMS-GCO-58807485")</f>
        <v>EDMS-GCO-58807485</v>
      </c>
    </row>
    <row r="570" customFormat="false" ht="14.25" hidden="false" customHeight="true" outlineLevel="0" collapsed="false">
      <c r="E570" s="8" t="s">
        <v>132</v>
      </c>
      <c r="F570" s="9" t="str">
        <f aca="false">HYPERLINK("https://vtmf.veevavault.com/ui/#doc_info/1594327/1/0", "40346527ARA2001-KOR--Approval (v1.0)")</f>
        <v>40346527ARA2001-KOR--Approval (v1.0)</v>
      </c>
      <c r="G570" s="8" t="s">
        <v>735</v>
      </c>
      <c r="H570" s="9" t="str">
        <f aca="false">HYPERLINK("https://vtmf.veevavault.com/ui/#doc_info/1594327/1/0", "EDMS-GCO-58807670")</f>
        <v>EDMS-GCO-58807670</v>
      </c>
    </row>
    <row r="571" customFormat="false" ht="14.25" hidden="false" customHeight="true" outlineLevel="0" collapsed="false">
      <c r="E571" s="8" t="s">
        <v>132</v>
      </c>
      <c r="F571" s="9" t="str">
        <f aca="false">HYPERLINK("https://vtmf.veevavault.com/ui/#doc_info/1597685/1/0", "40346527ARA2001-KOR--Approval (v1.0)")</f>
        <v>40346527ARA2001-KOR--Approval (v1.0)</v>
      </c>
      <c r="G571" s="8" t="s">
        <v>736</v>
      </c>
      <c r="H571" s="9" t="str">
        <f aca="false">HYPERLINK("https://vtmf.veevavault.com/ui/#doc_info/1597685/1/0", "EDMS-GCO-60342945")</f>
        <v>EDMS-GCO-60342945</v>
      </c>
    </row>
    <row r="572" customFormat="false" ht="14.25" hidden="false" customHeight="true" outlineLevel="0" collapsed="false">
      <c r="E572" s="8" t="s">
        <v>132</v>
      </c>
      <c r="F572" s="9" t="str">
        <f aca="false">HYPERLINK("https://vtmf.veevavault.com/ui/#doc_info/1603386/2/0", "40346527ARA2001-KOR--Approval (v2.0)")</f>
        <v>40346527ARA2001-KOR--Approval (v2.0)</v>
      </c>
      <c r="G572" s="8" t="s">
        <v>737</v>
      </c>
      <c r="H572" s="9" t="str">
        <f aca="false">HYPERLINK("https://vtmf.veevavault.com/ui/#doc_info/1603386/2/0", "EDMS-GCO-62767676")</f>
        <v>EDMS-GCO-62767676</v>
      </c>
    </row>
    <row r="573" customFormat="false" ht="14.25" hidden="false" customHeight="true" outlineLevel="0" collapsed="false">
      <c r="E573" s="8" t="s">
        <v>132</v>
      </c>
      <c r="F573" s="9" t="str">
        <f aca="false">HYPERLINK("https://vtmf.veevavault.com/ui/#doc_info/1603433/2/0", "40346527ARA2001-KOR--Approval (v2.0)")</f>
        <v>40346527ARA2001-KOR--Approval (v2.0)</v>
      </c>
      <c r="G573" s="8" t="s">
        <v>738</v>
      </c>
      <c r="H573" s="9" t="str">
        <f aca="false">HYPERLINK("https://vtmf.veevavault.com/ui/#doc_info/1603433/2/0", "EDMS-GCO-62767678")</f>
        <v>EDMS-GCO-62767678</v>
      </c>
    </row>
    <row r="574" customFormat="false" ht="14.25" hidden="false" customHeight="true" outlineLevel="0" collapsed="false">
      <c r="E574" s="8" t="s">
        <v>132</v>
      </c>
      <c r="F574" s="9" t="str">
        <f aca="false">HYPERLINK("https://vtmf.veevavault.com/ui/#doc_info/14902590/0/1", "40411813EPY2001-KOR--Approval- (v0.1)")</f>
        <v>40411813EPY2001-KOR--Approval- (v0.1)</v>
      </c>
      <c r="G574" s="8"/>
      <c r="H574" s="9" t="str">
        <f aca="false">HYPERLINK("https://vtmf.veevavault.com/ui/#doc_info/14902590/0/1", "VTMF-10646896")</f>
        <v>VTMF-10646896</v>
      </c>
    </row>
    <row r="575" customFormat="false" ht="14.25" hidden="false" customHeight="true" outlineLevel="0" collapsed="false">
      <c r="E575" s="8" t="s">
        <v>132</v>
      </c>
      <c r="F575" s="9" t="str">
        <f aca="false">HYPERLINK("https://vtmf.veevavault.com/ui/#doc_info/22933596/1/0", "40411813EPY2001-KOR--Approval-03 Nov 2022 (v1.0)")</f>
        <v>40411813EPY2001-KOR--Approval-03 Nov 2022 (v1.0)</v>
      </c>
      <c r="G575" s="8" t="s">
        <v>739</v>
      </c>
      <c r="H575" s="9" t="str">
        <f aca="false">HYPERLINK("https://vtmf.veevavault.com/ui/#doc_info/22933596/1/0", "VTMF-18105050")</f>
        <v>VTMF-18105050</v>
      </c>
    </row>
    <row r="576" customFormat="false" ht="14.25" hidden="false" customHeight="true" outlineLevel="0" collapsed="false">
      <c r="E576" s="8" t="s">
        <v>132</v>
      </c>
      <c r="F576" s="9" t="str">
        <f aca="false">HYPERLINK("https://vtmf.veevavault.com/ui/#doc_info/22345313/2/0", "40411813EPY2001-KOR--Approval-08 Aug 2022 (v2.0)")</f>
        <v>40411813EPY2001-KOR--Approval-08 Aug 2022 (v2.0)</v>
      </c>
      <c r="G576" s="8" t="s">
        <v>740</v>
      </c>
      <c r="H576" s="9" t="str">
        <f aca="false">HYPERLINK("https://vtmf.veevavault.com/ui/#doc_info/22345313/2/0", "VTMF-17593322")</f>
        <v>VTMF-17593322</v>
      </c>
    </row>
    <row r="577" customFormat="false" ht="14.25" hidden="false" customHeight="true" outlineLevel="0" collapsed="false">
      <c r="E577" s="8" t="s">
        <v>132</v>
      </c>
      <c r="F577" s="9" t="str">
        <f aca="false">HYPERLINK("https://vtmf.veevavault.com/ui/#doc_info/18285976/1/0", "40411813EPY2001-KOR--Approval-09 Feb 2021 (v1.0)")</f>
        <v>40411813EPY2001-KOR--Approval-09 Feb 2021 (v1.0)</v>
      </c>
      <c r="G577" s="8" t="s">
        <v>741</v>
      </c>
      <c r="H577" s="9" t="str">
        <f aca="false">HYPERLINK("https://vtmf.veevavault.com/ui/#doc_info/18285976/1/0", "VTMF-13950730")</f>
        <v>VTMF-13950730</v>
      </c>
    </row>
    <row r="578" customFormat="false" ht="14.25" hidden="false" customHeight="true" outlineLevel="0" collapsed="false">
      <c r="E578" s="8" t="s">
        <v>132</v>
      </c>
      <c r="F578" s="9" t="str">
        <f aca="false">HYPERLINK("https://vtmf.veevavault.com/ui/#doc_info/22345698/1/0", "40411813EPY2001-KOR--Approval-21 Jul 2022 (v1.0)")</f>
        <v>40411813EPY2001-KOR--Approval-21 Jul 2022 (v1.0)</v>
      </c>
      <c r="G578" s="8" t="s">
        <v>742</v>
      </c>
      <c r="H578" s="9" t="str">
        <f aca="false">HYPERLINK("https://vtmf.veevavault.com/ui/#doc_info/22345698/1/0", "VTMF-17593660")</f>
        <v>VTMF-17593660</v>
      </c>
    </row>
    <row r="579" customFormat="false" ht="14.25" hidden="false" customHeight="true" outlineLevel="0" collapsed="false">
      <c r="E579" s="8" t="s">
        <v>132</v>
      </c>
      <c r="F579" s="9" t="str">
        <f aca="false">HYPERLINK("https://vtmf.veevavault.com/ui/#doc_info/23426740/1/0", "40411813EPY2001-KOR--Approval-22 Jan 2023 (v1.0)")</f>
        <v>40411813EPY2001-KOR--Approval-22 Jan 2023 (v1.0)</v>
      </c>
      <c r="G579" s="8" t="s">
        <v>743</v>
      </c>
      <c r="H579" s="9" t="str">
        <f aca="false">HYPERLINK("https://vtmf.veevavault.com/ui/#doc_info/23426740/1/0", "VTMF-18530523")</f>
        <v>VTMF-18530523</v>
      </c>
    </row>
    <row r="580" customFormat="false" ht="14.25" hidden="false" customHeight="true" outlineLevel="0" collapsed="false">
      <c r="E580" s="8" t="s">
        <v>132</v>
      </c>
      <c r="F580" s="9" t="str">
        <f aca="false">HYPERLINK("https://vtmf.veevavault.com/ui/#doc_info/22451250/1/0", "40411813EPY2001-KOR--Approval-24 Aug 2022 (v1.0)")</f>
        <v>40411813EPY2001-KOR--Approval-24 Aug 2022 (v1.0)</v>
      </c>
      <c r="G580" s="8" t="s">
        <v>744</v>
      </c>
      <c r="H580" s="9" t="str">
        <f aca="false">HYPERLINK("https://vtmf.veevavault.com/ui/#doc_info/22451250/1/0", "VTMF-17685533")</f>
        <v>VTMF-17685533</v>
      </c>
    </row>
    <row r="581" customFormat="false" ht="14.25" hidden="false" customHeight="true" outlineLevel="0" collapsed="false">
      <c r="E581" s="8" t="s">
        <v>132</v>
      </c>
      <c r="F581" s="9" t="str">
        <f aca="false">HYPERLINK("https://vtmf.veevavault.com/ui/#doc_info/19088151/1/0", "40411813EPY2001-KOR--Approval-25 Mar 2021 (v1.0)")</f>
        <v>40411813EPY2001-KOR--Approval-25 Mar 2021 (v1.0)</v>
      </c>
      <c r="G581" s="8" t="s">
        <v>745</v>
      </c>
      <c r="H581" s="9" t="str">
        <f aca="false">HYPERLINK("https://vtmf.veevavault.com/ui/#doc_info/19088151/1/0", "VTMF-14719994")</f>
        <v>VTMF-14719994</v>
      </c>
    </row>
    <row r="582" customFormat="false" ht="14.25" hidden="false" customHeight="true" outlineLevel="0" collapsed="false">
      <c r="E582" s="8" t="s">
        <v>132</v>
      </c>
      <c r="F582" s="9" t="str">
        <f aca="false">HYPERLINK("https://vtmf.veevavault.com/ui/#doc_info/11773649/0/1", "42019133PAI1010-KOR--Approval- (v0.1)")</f>
        <v>42019133PAI1010-KOR--Approval- (v0.1)</v>
      </c>
      <c r="G582" s="8"/>
      <c r="H582" s="9" t="str">
        <f aca="false">HYPERLINK("https://vtmf.veevavault.com/ui/#doc_info/11773649/0/1", "VTMF-7680050")</f>
        <v>VTMF-7680050</v>
      </c>
    </row>
    <row r="583" customFormat="false" ht="14.25" hidden="false" customHeight="true" outlineLevel="0" collapsed="false">
      <c r="E583" s="8" t="s">
        <v>132</v>
      </c>
      <c r="F583" s="9" t="str">
        <f aca="false">HYPERLINK("https://vtmf.veevavault.com/ui/#doc_info/11773635/0/1", "42019133PAI1011-KOR--Approval- (v0.1)")</f>
        <v>42019133PAI1011-KOR--Approval- (v0.1)</v>
      </c>
      <c r="G583" s="8"/>
      <c r="H583" s="9" t="str">
        <f aca="false">HYPERLINK("https://vtmf.veevavault.com/ui/#doc_info/11773635/0/1", "VTMF-7680036")</f>
        <v>VTMF-7680036</v>
      </c>
    </row>
    <row r="584" customFormat="false" ht="14.25" hidden="false" customHeight="true" outlineLevel="0" collapsed="false">
      <c r="E584" s="8" t="s">
        <v>132</v>
      </c>
      <c r="F584" s="9" t="str">
        <f aca="false">HYPERLINK("https://vtmf.veevavault.com/ui/#doc_info/1295423/1/0", "42160443PAI2004-KOR--Approval (v1.0)")</f>
        <v>42160443PAI2004-KOR--Approval (v1.0)</v>
      </c>
      <c r="G584" s="8" t="s">
        <v>746</v>
      </c>
      <c r="H584" s="9" t="str">
        <f aca="false">HYPERLINK("https://vtmf.veevavault.com/ui/#doc_info/1295423/1/0", "EDMS-GCO-12713682")</f>
        <v>EDMS-GCO-12713682</v>
      </c>
    </row>
    <row r="585" customFormat="false" ht="14.25" hidden="false" customHeight="true" outlineLevel="0" collapsed="false">
      <c r="E585" s="8" t="s">
        <v>132</v>
      </c>
      <c r="F585" s="9" t="str">
        <f aca="false">HYPERLINK("https://vtmf.veevavault.com/ui/#doc_info/1295449/1/0", "42160443PAI2004-KOR--Approval (v1.0)")</f>
        <v>42160443PAI2004-KOR--Approval (v1.0)</v>
      </c>
      <c r="G585" s="8" t="s">
        <v>747</v>
      </c>
      <c r="H585" s="9" t="str">
        <f aca="false">HYPERLINK("https://vtmf.veevavault.com/ui/#doc_info/1295449/1/0", "EDMS-GCO-12713687")</f>
        <v>EDMS-GCO-12713687</v>
      </c>
    </row>
    <row r="586" customFormat="false" ht="14.25" hidden="false" customHeight="true" outlineLevel="0" collapsed="false">
      <c r="E586" s="8" t="s">
        <v>132</v>
      </c>
      <c r="F586" s="9" t="str">
        <f aca="false">HYPERLINK("https://vtmf.veevavault.com/ui/#doc_info/1295459/1/0", "42160443PAI2004-KOR--Approval (v1.0)")</f>
        <v>42160443PAI2004-KOR--Approval (v1.0)</v>
      </c>
      <c r="G586" s="8" t="s">
        <v>748</v>
      </c>
      <c r="H586" s="9" t="str">
        <f aca="false">HYPERLINK("https://vtmf.veevavault.com/ui/#doc_info/1295459/1/0", "EDMS-GCO-12713984")</f>
        <v>EDMS-GCO-12713984</v>
      </c>
    </row>
    <row r="587" customFormat="false" ht="14.25" hidden="false" customHeight="true" outlineLevel="0" collapsed="false">
      <c r="E587" s="8" t="s">
        <v>132</v>
      </c>
      <c r="F587" s="9" t="str">
        <f aca="false">HYPERLINK("https://vtmf.veevavault.com/ui/#doc_info/1295474/1/0", "42160443PAI2004-KOR--Approval (v1.0)")</f>
        <v>42160443PAI2004-KOR--Approval (v1.0)</v>
      </c>
      <c r="G587" s="8" t="s">
        <v>749</v>
      </c>
      <c r="H587" s="9" t="str">
        <f aca="false">HYPERLINK("https://vtmf.veevavault.com/ui/#doc_info/1295474/1/0", "EDMS-GCO-12714771")</f>
        <v>EDMS-GCO-12714771</v>
      </c>
    </row>
    <row r="588" customFormat="false" ht="14.25" hidden="false" customHeight="true" outlineLevel="0" collapsed="false">
      <c r="E588" s="8" t="s">
        <v>132</v>
      </c>
      <c r="F588" s="9" t="str">
        <f aca="false">HYPERLINK("https://vtmf.veevavault.com/ui/#doc_info/1296705/1/0", "42160443PAI2004-KOR--Approval (v1.0)")</f>
        <v>42160443PAI2004-KOR--Approval (v1.0)</v>
      </c>
      <c r="G588" s="8" t="s">
        <v>750</v>
      </c>
      <c r="H588" s="9" t="str">
        <f aca="false">HYPERLINK("https://vtmf.veevavault.com/ui/#doc_info/1296705/1/0", "EDMS-GCO-12815858")</f>
        <v>EDMS-GCO-12815858</v>
      </c>
    </row>
    <row r="589" customFormat="false" ht="14.25" hidden="false" customHeight="true" outlineLevel="0" collapsed="false">
      <c r="E589" s="8" t="s">
        <v>132</v>
      </c>
      <c r="F589" s="9" t="str">
        <f aca="false">HYPERLINK("https://vtmf.veevavault.com/ui/#doc_info/1323100/1/0", "42160443PAI2004-KOR--Approval (v1.0)")</f>
        <v>42160443PAI2004-KOR--Approval (v1.0)</v>
      </c>
      <c r="G589" s="8" t="s">
        <v>751</v>
      </c>
      <c r="H589" s="9" t="str">
        <f aca="false">HYPERLINK("https://vtmf.veevavault.com/ui/#doc_info/1323100/1/0", "EDMS-GCO-16470751")</f>
        <v>EDMS-GCO-16470751</v>
      </c>
    </row>
    <row r="590" customFormat="false" ht="14.25" hidden="false" customHeight="true" outlineLevel="0" collapsed="false">
      <c r="E590" s="8" t="s">
        <v>132</v>
      </c>
      <c r="F590" s="9" t="str">
        <f aca="false">HYPERLINK("https://vtmf.veevavault.com/ui/#doc_info/1323126/1/0", "42160443PAI2004-KOR--Approval (v1.0)")</f>
        <v>42160443PAI2004-KOR--Approval (v1.0)</v>
      </c>
      <c r="G590" s="8" t="s">
        <v>752</v>
      </c>
      <c r="H590" s="9" t="str">
        <f aca="false">HYPERLINK("https://vtmf.veevavault.com/ui/#doc_info/1323126/1/0", "EDMS-GCO-16470753")</f>
        <v>EDMS-GCO-16470753</v>
      </c>
    </row>
    <row r="591" customFormat="false" ht="14.25" hidden="false" customHeight="true" outlineLevel="0" collapsed="false">
      <c r="E591" s="8" t="s">
        <v>132</v>
      </c>
      <c r="F591" s="9" t="str">
        <f aca="false">HYPERLINK("https://vtmf.veevavault.com/ui/#doc_info/1324319/1/0", "42160443PAI2004-KOR--Approval (v1.0)")</f>
        <v>42160443PAI2004-KOR--Approval (v1.0)</v>
      </c>
      <c r="G591" s="8" t="s">
        <v>753</v>
      </c>
      <c r="H591" s="9" t="str">
        <f aca="false">HYPERLINK("https://vtmf.veevavault.com/ui/#doc_info/1324319/1/0", "EDMS-GCO-16658717")</f>
        <v>EDMS-GCO-16658717</v>
      </c>
    </row>
    <row r="592" customFormat="false" ht="14.25" hidden="false" customHeight="true" outlineLevel="0" collapsed="false">
      <c r="E592" s="8" t="s">
        <v>132</v>
      </c>
      <c r="F592" s="9" t="str">
        <f aca="false">HYPERLINK("https://vtmf.veevavault.com/ui/#doc_info/1326498/1/0", "42160443PAI2004-KOR--Approval (v1.0)")</f>
        <v>42160443PAI2004-KOR--Approval (v1.0)</v>
      </c>
      <c r="G592" s="8" t="s">
        <v>754</v>
      </c>
      <c r="H592" s="9" t="str">
        <f aca="false">HYPERLINK("https://vtmf.veevavault.com/ui/#doc_info/1326498/1/0", "EDMS-GCO-17220679")</f>
        <v>EDMS-GCO-17220679</v>
      </c>
    </row>
    <row r="593" customFormat="false" ht="14.25" hidden="false" customHeight="true" outlineLevel="0" collapsed="false">
      <c r="E593" s="8" t="s">
        <v>132</v>
      </c>
      <c r="F593" s="9" t="str">
        <f aca="false">HYPERLINK("https://vtmf.veevavault.com/ui/#doc_info/1353798/1/0", "42160443PAI2004-KOR--Approval (v1.0)")</f>
        <v>42160443PAI2004-KOR--Approval (v1.0)</v>
      </c>
      <c r="G593" s="8" t="s">
        <v>755</v>
      </c>
      <c r="H593" s="9" t="str">
        <f aca="false">HYPERLINK("https://vtmf.veevavault.com/ui/#doc_info/1353798/1/0", "EDMS-GCO-20327060")</f>
        <v>EDMS-GCO-20327060</v>
      </c>
    </row>
    <row r="594" customFormat="false" ht="14.25" hidden="false" customHeight="true" outlineLevel="0" collapsed="false">
      <c r="E594" s="8" t="s">
        <v>132</v>
      </c>
      <c r="F594" s="9" t="str">
        <f aca="false">HYPERLINK("https://vtmf.veevavault.com/ui/#doc_info/1353931/1/0", "42160443PAI2004-KOR--Approval (v1.0)")</f>
        <v>42160443PAI2004-KOR--Approval (v1.0)</v>
      </c>
      <c r="G594" s="8" t="s">
        <v>756</v>
      </c>
      <c r="H594" s="9" t="str">
        <f aca="false">HYPERLINK("https://vtmf.veevavault.com/ui/#doc_info/1353931/1/0", "EDMS-GCO-20377447")</f>
        <v>EDMS-GCO-20377447</v>
      </c>
    </row>
    <row r="595" customFormat="false" ht="14.25" hidden="false" customHeight="true" outlineLevel="0" collapsed="false">
      <c r="E595" s="8" t="s">
        <v>132</v>
      </c>
      <c r="F595" s="9" t="str">
        <f aca="false">HYPERLINK("https://vtmf.veevavault.com/ui/#doc_info/1353940/1/0", "42160443PAI2004-KOR--Approval (v1.0)")</f>
        <v>42160443PAI2004-KOR--Approval (v1.0)</v>
      </c>
      <c r="G595" s="8" t="s">
        <v>757</v>
      </c>
      <c r="H595" s="9" t="str">
        <f aca="false">HYPERLINK("https://vtmf.veevavault.com/ui/#doc_info/1353940/1/0", "EDMS-GCO-20377449")</f>
        <v>EDMS-GCO-20377449</v>
      </c>
    </row>
    <row r="596" customFormat="false" ht="14.25" hidden="false" customHeight="true" outlineLevel="0" collapsed="false">
      <c r="E596" s="8" t="s">
        <v>132</v>
      </c>
      <c r="F596" s="9" t="str">
        <f aca="false">HYPERLINK("https://vtmf.veevavault.com/ui/#doc_info/1365155/1/0", "42160443PAI2004-KOR--Approval (v1.0)")</f>
        <v>42160443PAI2004-KOR--Approval (v1.0)</v>
      </c>
      <c r="G596" s="8" t="s">
        <v>758</v>
      </c>
      <c r="H596" s="9" t="str">
        <f aca="false">HYPERLINK("https://vtmf.veevavault.com/ui/#doc_info/1365155/1/0", "EDMS-GCO-21010291")</f>
        <v>EDMS-GCO-21010291</v>
      </c>
    </row>
    <row r="597" customFormat="false" ht="14.25" hidden="false" customHeight="true" outlineLevel="0" collapsed="false">
      <c r="E597" s="8" t="s">
        <v>132</v>
      </c>
      <c r="F597" s="9" t="str">
        <f aca="false">HYPERLINK("https://vtmf.veevavault.com/ui/#doc_info/1365205/1/0", "42160443PAI2004-KOR--Approval (v1.0)")</f>
        <v>42160443PAI2004-KOR--Approval (v1.0)</v>
      </c>
      <c r="G597" s="8" t="s">
        <v>759</v>
      </c>
      <c r="H597" s="9" t="str">
        <f aca="false">HYPERLINK("https://vtmf.veevavault.com/ui/#doc_info/1365205/1/0", "EDMS-GCO-21018141")</f>
        <v>EDMS-GCO-21018141</v>
      </c>
    </row>
    <row r="598" customFormat="false" ht="14.25" hidden="false" customHeight="true" outlineLevel="0" collapsed="false">
      <c r="E598" s="8" t="s">
        <v>132</v>
      </c>
      <c r="F598" s="9" t="str">
        <f aca="false">HYPERLINK("https://vtmf.veevavault.com/ui/#doc_info/1365241/1/0", "42160443PAI2004-KOR--Approval (v1.0)")</f>
        <v>42160443PAI2004-KOR--Approval (v1.0)</v>
      </c>
      <c r="G598" s="8" t="s">
        <v>760</v>
      </c>
      <c r="H598" s="9" t="str">
        <f aca="false">HYPERLINK("https://vtmf.veevavault.com/ui/#doc_info/1365241/1/0", "EDMS-GCO-21023846")</f>
        <v>EDMS-GCO-21023846</v>
      </c>
    </row>
    <row r="599" customFormat="false" ht="14.25" hidden="false" customHeight="true" outlineLevel="0" collapsed="false">
      <c r="E599" s="8" t="s">
        <v>132</v>
      </c>
      <c r="F599" s="9" t="str">
        <f aca="false">HYPERLINK("https://vtmf.veevavault.com/ui/#doc_info/1368717/1/0", "42160443PAI2004-KOR--Approval (v1.0)")</f>
        <v>42160443PAI2004-KOR--Approval (v1.0)</v>
      </c>
      <c r="G599" s="8" t="s">
        <v>761</v>
      </c>
      <c r="H599" s="9" t="str">
        <f aca="false">HYPERLINK("https://vtmf.veevavault.com/ui/#doc_info/1368717/1/0", "EDMS-GCO-21253605")</f>
        <v>EDMS-GCO-21253605</v>
      </c>
    </row>
    <row r="600" customFormat="false" ht="14.25" hidden="false" customHeight="true" outlineLevel="0" collapsed="false">
      <c r="E600" s="8" t="s">
        <v>132</v>
      </c>
      <c r="F600" s="9" t="str">
        <f aca="false">HYPERLINK("https://vtmf.veevavault.com/ui/#doc_info/1380013/1/0", "42160443PAI2004-KOR--Approval (v1.0)")</f>
        <v>42160443PAI2004-KOR--Approval (v1.0)</v>
      </c>
      <c r="G600" s="8" t="s">
        <v>762</v>
      </c>
      <c r="H600" s="9" t="str">
        <f aca="false">HYPERLINK("https://vtmf.veevavault.com/ui/#doc_info/1380013/1/0", "EDMS-GCO-22602629")</f>
        <v>EDMS-GCO-22602629</v>
      </c>
    </row>
    <row r="601" customFormat="false" ht="14.25" hidden="false" customHeight="true" outlineLevel="0" collapsed="false">
      <c r="E601" s="8" t="s">
        <v>132</v>
      </c>
      <c r="F601" s="9" t="str">
        <f aca="false">HYPERLINK("https://vtmf.veevavault.com/ui/#doc_info/1437225/1/0", "42160443PAI2004-KOR--Approval (v1.0)")</f>
        <v>42160443PAI2004-KOR--Approval (v1.0)</v>
      </c>
      <c r="G601" s="8" t="s">
        <v>763</v>
      </c>
      <c r="H601" s="9" t="str">
        <f aca="false">HYPERLINK("https://vtmf.veevavault.com/ui/#doc_info/1437225/1/0", "EDMS-GCO-29697695")</f>
        <v>EDMS-GCO-29697695</v>
      </c>
    </row>
    <row r="602" customFormat="false" ht="14.25" hidden="false" customHeight="true" outlineLevel="0" collapsed="false">
      <c r="E602" s="8" t="s">
        <v>132</v>
      </c>
      <c r="F602" s="9" t="str">
        <f aca="false">HYPERLINK("https://vtmf.veevavault.com/ui/#doc_info/1437239/1/0", "42160443PAI2004-KOR--Approval (v1.0)")</f>
        <v>42160443PAI2004-KOR--Approval (v1.0)</v>
      </c>
      <c r="G602" s="8" t="s">
        <v>764</v>
      </c>
      <c r="H602" s="9" t="str">
        <f aca="false">HYPERLINK("https://vtmf.veevavault.com/ui/#doc_info/1437239/1/0", "EDMS-GCO-29697948")</f>
        <v>EDMS-GCO-29697948</v>
      </c>
    </row>
    <row r="603" customFormat="false" ht="14.25" hidden="false" customHeight="true" outlineLevel="0" collapsed="false">
      <c r="E603" s="8" t="s">
        <v>132</v>
      </c>
      <c r="F603" s="9" t="str">
        <f aca="false">HYPERLINK("https://vtmf.veevavault.com/ui/#doc_info/1437250/1/0", "42160443PAI2004-KOR--Approval (v1.0)")</f>
        <v>42160443PAI2004-KOR--Approval (v1.0)</v>
      </c>
      <c r="G603" s="8" t="s">
        <v>765</v>
      </c>
      <c r="H603" s="9" t="str">
        <f aca="false">HYPERLINK("https://vtmf.veevavault.com/ui/#doc_info/1437250/1/0", "EDMS-GCO-29697949")</f>
        <v>EDMS-GCO-29697949</v>
      </c>
    </row>
    <row r="604" customFormat="false" ht="14.25" hidden="false" customHeight="true" outlineLevel="0" collapsed="false">
      <c r="E604" s="8" t="s">
        <v>132</v>
      </c>
      <c r="F604" s="9" t="str">
        <f aca="false">HYPERLINK("https://vtmf.veevavault.com/ui/#doc_info/1437266/1/0", "42160443PAI2004-KOR--Approval (v1.0)")</f>
        <v>42160443PAI2004-KOR--Approval (v1.0)</v>
      </c>
      <c r="G604" s="8" t="s">
        <v>766</v>
      </c>
      <c r="H604" s="9" t="str">
        <f aca="false">HYPERLINK("https://vtmf.veevavault.com/ui/#doc_info/1437266/1/0", "EDMS-GCO-29698034")</f>
        <v>EDMS-GCO-29698034</v>
      </c>
    </row>
    <row r="605" customFormat="false" ht="14.25" hidden="false" customHeight="true" outlineLevel="0" collapsed="false">
      <c r="E605" s="8" t="s">
        <v>132</v>
      </c>
      <c r="F605" s="9" t="str">
        <f aca="false">HYPERLINK("https://vtmf.veevavault.com/ui/#doc_info/1437578/1/0", "42160443PAI2004-KOR--Approval (v1.0)")</f>
        <v>42160443PAI2004-KOR--Approval (v1.0)</v>
      </c>
      <c r="G605" s="8" t="s">
        <v>767</v>
      </c>
      <c r="H605" s="9" t="str">
        <f aca="false">HYPERLINK("https://vtmf.veevavault.com/ui/#doc_info/1437578/1/0", "EDMS-GCO-29812784")</f>
        <v>EDMS-GCO-29812784</v>
      </c>
    </row>
    <row r="606" customFormat="false" ht="14.25" hidden="false" customHeight="true" outlineLevel="0" collapsed="false">
      <c r="E606" s="8" t="s">
        <v>132</v>
      </c>
      <c r="F606" s="9" t="str">
        <f aca="false">HYPERLINK("https://vtmf.veevavault.com/ui/#doc_info/1437589/1/0", "42160443PAI2004-KOR--Approval (v1.0)")</f>
        <v>42160443PAI2004-KOR--Approval (v1.0)</v>
      </c>
      <c r="G606" s="8" t="s">
        <v>768</v>
      </c>
      <c r="H606" s="9" t="str">
        <f aca="false">HYPERLINK("https://vtmf.veevavault.com/ui/#doc_info/1437589/1/0", "EDMS-GCO-29812785")</f>
        <v>EDMS-GCO-29812785</v>
      </c>
    </row>
    <row r="607" customFormat="false" ht="14.25" hidden="false" customHeight="true" outlineLevel="0" collapsed="false">
      <c r="E607" s="8" t="s">
        <v>132</v>
      </c>
      <c r="F607" s="9" t="str">
        <f aca="false">HYPERLINK("https://vtmf.veevavault.com/ui/#doc_info/1437598/1/0", "42160443PAI2004-KOR--Approval (v1.0)")</f>
        <v>42160443PAI2004-KOR--Approval (v1.0)</v>
      </c>
      <c r="G607" s="8" t="s">
        <v>769</v>
      </c>
      <c r="H607" s="9" t="str">
        <f aca="false">HYPERLINK("https://vtmf.veevavault.com/ui/#doc_info/1437598/1/0", "EDMS-GCO-29812786")</f>
        <v>EDMS-GCO-29812786</v>
      </c>
    </row>
    <row r="608" customFormat="false" ht="14.25" hidden="false" customHeight="true" outlineLevel="0" collapsed="false">
      <c r="E608" s="8" t="s">
        <v>132</v>
      </c>
      <c r="F608" s="9" t="str">
        <f aca="false">HYPERLINK("https://vtmf.veevavault.com/ui/#doc_info/1437616/1/0", "42160443PAI2004-KOR--Approval (v1.0)")</f>
        <v>42160443PAI2004-KOR--Approval (v1.0)</v>
      </c>
      <c r="G608" s="8" t="s">
        <v>770</v>
      </c>
      <c r="H608" s="9" t="str">
        <f aca="false">HYPERLINK("https://vtmf.veevavault.com/ui/#doc_info/1437616/1/0", "EDMS-GCO-29812787")</f>
        <v>EDMS-GCO-29812787</v>
      </c>
    </row>
    <row r="609" customFormat="false" ht="14.25" hidden="false" customHeight="true" outlineLevel="0" collapsed="false">
      <c r="E609" s="8" t="s">
        <v>132</v>
      </c>
      <c r="F609" s="9" t="str">
        <f aca="false">HYPERLINK("https://vtmf.veevavault.com/ui/#doc_info/1437627/1/0", "42160443PAI2004-KOR--Approval (v1.0)")</f>
        <v>42160443PAI2004-KOR--Approval (v1.0)</v>
      </c>
      <c r="G609" s="8" t="s">
        <v>771</v>
      </c>
      <c r="H609" s="9" t="str">
        <f aca="false">HYPERLINK("https://vtmf.veevavault.com/ui/#doc_info/1437627/1/0", "EDMS-GCO-29812788")</f>
        <v>EDMS-GCO-29812788</v>
      </c>
    </row>
    <row r="610" customFormat="false" ht="14.25" hidden="false" customHeight="true" outlineLevel="0" collapsed="false">
      <c r="E610" s="8" t="s">
        <v>132</v>
      </c>
      <c r="F610" s="9" t="str">
        <f aca="false">HYPERLINK("https://vtmf.veevavault.com/ui/#doc_info/1437634/1/0", "42160443PAI2004-KOR--Approval (v1.0)")</f>
        <v>42160443PAI2004-KOR--Approval (v1.0)</v>
      </c>
      <c r="G610" s="8" t="s">
        <v>772</v>
      </c>
      <c r="H610" s="9" t="str">
        <f aca="false">HYPERLINK("https://vtmf.veevavault.com/ui/#doc_info/1437634/1/0", "EDMS-GCO-29812789")</f>
        <v>EDMS-GCO-29812789</v>
      </c>
    </row>
    <row r="611" customFormat="false" ht="14.25" hidden="false" customHeight="true" outlineLevel="0" collapsed="false">
      <c r="E611" s="8" t="s">
        <v>132</v>
      </c>
      <c r="F611" s="9" t="str">
        <f aca="false">HYPERLINK("https://vtmf.veevavault.com/ui/#doc_info/1437643/1/0", "42160443PAI2004-KOR--Approval (v1.0)")</f>
        <v>42160443PAI2004-KOR--Approval (v1.0)</v>
      </c>
      <c r="G611" s="8" t="s">
        <v>773</v>
      </c>
      <c r="H611" s="9" t="str">
        <f aca="false">HYPERLINK("https://vtmf.veevavault.com/ui/#doc_info/1437643/1/0", "EDMS-GCO-29812790")</f>
        <v>EDMS-GCO-29812790</v>
      </c>
    </row>
    <row r="612" customFormat="false" ht="14.25" hidden="false" customHeight="true" outlineLevel="0" collapsed="false">
      <c r="E612" s="8" t="s">
        <v>132</v>
      </c>
      <c r="F612" s="9" t="str">
        <f aca="false">HYPERLINK("https://vtmf.veevavault.com/ui/#doc_info/1437654/1/0", "42160443PAI2004-KOR--Approval (v1.0)")</f>
        <v>42160443PAI2004-KOR--Approval (v1.0)</v>
      </c>
      <c r="G612" s="8" t="s">
        <v>774</v>
      </c>
      <c r="H612" s="9" t="str">
        <f aca="false">HYPERLINK("https://vtmf.veevavault.com/ui/#doc_info/1437654/1/0", "EDMS-GCO-29812801")</f>
        <v>EDMS-GCO-29812801</v>
      </c>
    </row>
    <row r="613" customFormat="false" ht="14.25" hidden="false" customHeight="true" outlineLevel="0" collapsed="false">
      <c r="E613" s="8" t="s">
        <v>132</v>
      </c>
      <c r="F613" s="9" t="str">
        <f aca="false">HYPERLINK("https://vtmf.veevavault.com/ui/#doc_info/1437664/1/0", "42160443PAI2004-KOR--Approval (v1.0)")</f>
        <v>42160443PAI2004-KOR--Approval (v1.0)</v>
      </c>
      <c r="G613" s="8" t="s">
        <v>775</v>
      </c>
      <c r="H613" s="9" t="str">
        <f aca="false">HYPERLINK("https://vtmf.veevavault.com/ui/#doc_info/1437664/1/0", "EDMS-GCO-29812802")</f>
        <v>EDMS-GCO-29812802</v>
      </c>
    </row>
    <row r="614" customFormat="false" ht="14.25" hidden="false" customHeight="true" outlineLevel="0" collapsed="false">
      <c r="E614" s="8" t="s">
        <v>132</v>
      </c>
      <c r="F614" s="9" t="str">
        <f aca="false">HYPERLINK("https://vtmf.veevavault.com/ui/#doc_info/1437673/1/0", "42160443PAI2004-KOR--Approval (v1.0)")</f>
        <v>42160443PAI2004-KOR--Approval (v1.0)</v>
      </c>
      <c r="G614" s="8" t="s">
        <v>776</v>
      </c>
      <c r="H614" s="9" t="str">
        <f aca="false">HYPERLINK("https://vtmf.veevavault.com/ui/#doc_info/1437673/1/0", "EDMS-GCO-29812803")</f>
        <v>EDMS-GCO-29812803</v>
      </c>
    </row>
    <row r="615" customFormat="false" ht="14.25" hidden="false" customHeight="true" outlineLevel="0" collapsed="false">
      <c r="E615" s="8" t="s">
        <v>132</v>
      </c>
      <c r="F615" s="9" t="str">
        <f aca="false">HYPERLINK("https://vtmf.veevavault.com/ui/#doc_info/1437681/1/0", "42160443PAI2004-KOR--Approval (v1.0)")</f>
        <v>42160443PAI2004-KOR--Approval (v1.0)</v>
      </c>
      <c r="G615" s="8" t="s">
        <v>777</v>
      </c>
      <c r="H615" s="9" t="str">
        <f aca="false">HYPERLINK("https://vtmf.veevavault.com/ui/#doc_info/1437681/1/0", "EDMS-GCO-29812804")</f>
        <v>EDMS-GCO-29812804</v>
      </c>
    </row>
    <row r="616" customFormat="false" ht="14.25" hidden="false" customHeight="true" outlineLevel="0" collapsed="false">
      <c r="E616" s="8" t="s">
        <v>132</v>
      </c>
      <c r="F616" s="9" t="str">
        <f aca="false">HYPERLINK("https://vtmf.veevavault.com/ui/#doc_info/1437689/1/0", "42160443PAI2004-KOR--Approval (v1.0)")</f>
        <v>42160443PAI2004-KOR--Approval (v1.0)</v>
      </c>
      <c r="G616" s="8" t="s">
        <v>778</v>
      </c>
      <c r="H616" s="9" t="str">
        <f aca="false">HYPERLINK("https://vtmf.veevavault.com/ui/#doc_info/1437689/1/0", "EDMS-GCO-29812805")</f>
        <v>EDMS-GCO-29812805</v>
      </c>
    </row>
    <row r="617" customFormat="false" ht="14.25" hidden="false" customHeight="true" outlineLevel="0" collapsed="false">
      <c r="E617" s="8" t="s">
        <v>132</v>
      </c>
      <c r="F617" s="9" t="str">
        <f aca="false">HYPERLINK("https://vtmf.veevavault.com/ui/#doc_info/1437697/1/0", "42160443PAI2004-KOR--Approval (v1.0)")</f>
        <v>42160443PAI2004-KOR--Approval (v1.0)</v>
      </c>
      <c r="G617" s="8" t="s">
        <v>779</v>
      </c>
      <c r="H617" s="9" t="str">
        <f aca="false">HYPERLINK("https://vtmf.veevavault.com/ui/#doc_info/1437697/1/0", "EDMS-GCO-29812806")</f>
        <v>EDMS-GCO-29812806</v>
      </c>
    </row>
    <row r="618" customFormat="false" ht="14.25" hidden="false" customHeight="true" outlineLevel="0" collapsed="false">
      <c r="E618" s="8" t="s">
        <v>132</v>
      </c>
      <c r="F618" s="9" t="str">
        <f aca="false">HYPERLINK("https://vtmf.veevavault.com/ui/#doc_info/1437705/1/0", "42160443PAI2004-KOR--Approval (v1.0)")</f>
        <v>42160443PAI2004-KOR--Approval (v1.0)</v>
      </c>
      <c r="G618" s="8" t="s">
        <v>780</v>
      </c>
      <c r="H618" s="9" t="str">
        <f aca="false">HYPERLINK("https://vtmf.veevavault.com/ui/#doc_info/1437705/1/0", "EDMS-GCO-29812807")</f>
        <v>EDMS-GCO-29812807</v>
      </c>
    </row>
    <row r="619" customFormat="false" ht="14.25" hidden="false" customHeight="true" outlineLevel="0" collapsed="false">
      <c r="E619" s="8" t="s">
        <v>132</v>
      </c>
      <c r="F619" s="9" t="str">
        <f aca="false">HYPERLINK("https://vtmf.veevavault.com/ui/#doc_info/1437713/1/0", "42160443PAI2004-KOR--Approval (v1.0)")</f>
        <v>42160443PAI2004-KOR--Approval (v1.0)</v>
      </c>
      <c r="G619" s="8" t="s">
        <v>781</v>
      </c>
      <c r="H619" s="9" t="str">
        <f aca="false">HYPERLINK("https://vtmf.veevavault.com/ui/#doc_info/1437713/1/0", "EDMS-GCO-29812808")</f>
        <v>EDMS-GCO-29812808</v>
      </c>
    </row>
    <row r="620" customFormat="false" ht="14.25" hidden="false" customHeight="true" outlineLevel="0" collapsed="false">
      <c r="E620" s="8" t="s">
        <v>132</v>
      </c>
      <c r="F620" s="9" t="str">
        <f aca="false">HYPERLINK("https://vtmf.veevavault.com/ui/#doc_info/1437723/1/0", "42160443PAI2004-KOR--Approval (v1.0)")</f>
        <v>42160443PAI2004-KOR--Approval (v1.0)</v>
      </c>
      <c r="G620" s="8" t="s">
        <v>782</v>
      </c>
      <c r="H620" s="9" t="str">
        <f aca="false">HYPERLINK("https://vtmf.veevavault.com/ui/#doc_info/1437723/1/0", "EDMS-GCO-29812809")</f>
        <v>EDMS-GCO-29812809</v>
      </c>
    </row>
    <row r="621" customFormat="false" ht="14.25" hidden="false" customHeight="true" outlineLevel="0" collapsed="false">
      <c r="E621" s="8" t="s">
        <v>132</v>
      </c>
      <c r="F621" s="9" t="str">
        <f aca="false">HYPERLINK("https://vtmf.veevavault.com/ui/#doc_info/1437729/1/0", "42160443PAI2004-KOR--Approval (v1.0)")</f>
        <v>42160443PAI2004-KOR--Approval (v1.0)</v>
      </c>
      <c r="G621" s="8" t="s">
        <v>783</v>
      </c>
      <c r="H621" s="9" t="str">
        <f aca="false">HYPERLINK("https://vtmf.veevavault.com/ui/#doc_info/1437729/1/0", "EDMS-GCO-29812810")</f>
        <v>EDMS-GCO-29812810</v>
      </c>
    </row>
    <row r="622" customFormat="false" ht="14.25" hidden="false" customHeight="true" outlineLevel="0" collapsed="false">
      <c r="E622" s="8" t="s">
        <v>132</v>
      </c>
      <c r="F622" s="9" t="str">
        <f aca="false">HYPERLINK("https://vtmf.veevavault.com/ui/#doc_info/1437738/1/0", "42160443PAI2004-KOR--Approval (v1.0)")</f>
        <v>42160443PAI2004-KOR--Approval (v1.0)</v>
      </c>
      <c r="G622" s="8" t="s">
        <v>784</v>
      </c>
      <c r="H622" s="9" t="str">
        <f aca="false">HYPERLINK("https://vtmf.veevavault.com/ui/#doc_info/1437738/1/0", "EDMS-GCO-29812821")</f>
        <v>EDMS-GCO-29812821</v>
      </c>
    </row>
    <row r="623" customFormat="false" ht="14.25" hidden="false" customHeight="true" outlineLevel="0" collapsed="false">
      <c r="E623" s="8" t="s">
        <v>132</v>
      </c>
      <c r="F623" s="9" t="str">
        <f aca="false">HYPERLINK("https://vtmf.veevavault.com/ui/#doc_info/1437745/1/0", "42160443PAI2004-KOR--Approval (v1.0)")</f>
        <v>42160443PAI2004-KOR--Approval (v1.0)</v>
      </c>
      <c r="G623" s="8" t="s">
        <v>785</v>
      </c>
      <c r="H623" s="9" t="str">
        <f aca="false">HYPERLINK("https://vtmf.veevavault.com/ui/#doc_info/1437745/1/0", "EDMS-GCO-29812822")</f>
        <v>EDMS-GCO-29812822</v>
      </c>
    </row>
    <row r="624" customFormat="false" ht="14.25" hidden="false" customHeight="true" outlineLevel="0" collapsed="false">
      <c r="E624" s="8" t="s">
        <v>132</v>
      </c>
      <c r="F624" s="9" t="str">
        <f aca="false">HYPERLINK("https://vtmf.veevavault.com/ui/#doc_info/1437753/1/0", "42160443PAI2004-KOR--Approval (v1.0)")</f>
        <v>42160443PAI2004-KOR--Approval (v1.0)</v>
      </c>
      <c r="G624" s="8" t="s">
        <v>786</v>
      </c>
      <c r="H624" s="9" t="str">
        <f aca="false">HYPERLINK("https://vtmf.veevavault.com/ui/#doc_info/1437753/1/0", "EDMS-GCO-29812823")</f>
        <v>EDMS-GCO-29812823</v>
      </c>
    </row>
    <row r="625" customFormat="false" ht="14.25" hidden="false" customHeight="true" outlineLevel="0" collapsed="false">
      <c r="E625" s="8" t="s">
        <v>132</v>
      </c>
      <c r="F625" s="9" t="str">
        <f aca="false">HYPERLINK("https://vtmf.veevavault.com/ui/#doc_info/1437760/1/0", "42160443PAI2004-KOR--Approval (v1.0)")</f>
        <v>42160443PAI2004-KOR--Approval (v1.0)</v>
      </c>
      <c r="G625" s="8" t="s">
        <v>787</v>
      </c>
      <c r="H625" s="9" t="str">
        <f aca="false">HYPERLINK("https://vtmf.veevavault.com/ui/#doc_info/1437760/1/0", "EDMS-GCO-29812824")</f>
        <v>EDMS-GCO-29812824</v>
      </c>
    </row>
    <row r="626" customFormat="false" ht="14.25" hidden="false" customHeight="true" outlineLevel="0" collapsed="false">
      <c r="E626" s="8" t="s">
        <v>132</v>
      </c>
      <c r="F626" s="9" t="str">
        <f aca="false">HYPERLINK("https://vtmf.veevavault.com/ui/#doc_info/1437768/1/0", "42160443PAI2004-KOR--Approval (v1.0)")</f>
        <v>42160443PAI2004-KOR--Approval (v1.0)</v>
      </c>
      <c r="G626" s="8" t="s">
        <v>788</v>
      </c>
      <c r="H626" s="9" t="str">
        <f aca="false">HYPERLINK("https://vtmf.veevavault.com/ui/#doc_info/1437768/1/0", "EDMS-GCO-29812825")</f>
        <v>EDMS-GCO-29812825</v>
      </c>
    </row>
    <row r="627" customFormat="false" ht="14.25" hidden="false" customHeight="true" outlineLevel="0" collapsed="false">
      <c r="E627" s="8" t="s">
        <v>132</v>
      </c>
      <c r="F627" s="9" t="str">
        <f aca="false">HYPERLINK("https://vtmf.veevavault.com/ui/#doc_info/1437774/1/0", "42160443PAI2004-KOR--Approval (v1.0)")</f>
        <v>42160443PAI2004-KOR--Approval (v1.0)</v>
      </c>
      <c r="G627" s="8" t="s">
        <v>789</v>
      </c>
      <c r="H627" s="9" t="str">
        <f aca="false">HYPERLINK("https://vtmf.veevavault.com/ui/#doc_info/1437774/1/0", "EDMS-GCO-29812826")</f>
        <v>EDMS-GCO-29812826</v>
      </c>
    </row>
    <row r="628" customFormat="false" ht="14.25" hidden="false" customHeight="true" outlineLevel="0" collapsed="false">
      <c r="E628" s="8" t="s">
        <v>132</v>
      </c>
      <c r="F628" s="9" t="str">
        <f aca="false">HYPERLINK("https://vtmf.veevavault.com/ui/#doc_info/1437782/1/0", "42160443PAI2004-KOR--Approval (v1.0)")</f>
        <v>42160443PAI2004-KOR--Approval (v1.0)</v>
      </c>
      <c r="G628" s="8" t="s">
        <v>790</v>
      </c>
      <c r="H628" s="9" t="str">
        <f aca="false">HYPERLINK("https://vtmf.veevavault.com/ui/#doc_info/1437782/1/0", "EDMS-GCO-29812827")</f>
        <v>EDMS-GCO-29812827</v>
      </c>
    </row>
    <row r="629" customFormat="false" ht="14.25" hidden="false" customHeight="true" outlineLevel="0" collapsed="false">
      <c r="E629" s="8" t="s">
        <v>132</v>
      </c>
      <c r="F629" s="9" t="str">
        <f aca="false">HYPERLINK("https://vtmf.veevavault.com/ui/#doc_info/1437791/1/0", "42160443PAI2004-KOR--Approval (v1.0)")</f>
        <v>42160443PAI2004-KOR--Approval (v1.0)</v>
      </c>
      <c r="G629" s="8" t="s">
        <v>791</v>
      </c>
      <c r="H629" s="9" t="str">
        <f aca="false">HYPERLINK("https://vtmf.veevavault.com/ui/#doc_info/1437791/1/0", "EDMS-GCO-29812923")</f>
        <v>EDMS-GCO-29812923</v>
      </c>
    </row>
    <row r="630" customFormat="false" ht="14.25" hidden="false" customHeight="true" outlineLevel="0" collapsed="false">
      <c r="E630" s="8" t="s">
        <v>132</v>
      </c>
      <c r="F630" s="9" t="str">
        <f aca="false">HYPERLINK("https://vtmf.veevavault.com/ui/#doc_info/1437800/1/0", "42160443PAI2004-KOR--Approval (v1.0)")</f>
        <v>42160443PAI2004-KOR--Approval (v1.0)</v>
      </c>
      <c r="G630" s="8" t="s">
        <v>792</v>
      </c>
      <c r="H630" s="9" t="str">
        <f aca="false">HYPERLINK("https://vtmf.veevavault.com/ui/#doc_info/1437800/1/0", "EDMS-GCO-29812925")</f>
        <v>EDMS-GCO-29812925</v>
      </c>
    </row>
    <row r="631" customFormat="false" ht="14.25" hidden="false" customHeight="true" outlineLevel="0" collapsed="false">
      <c r="E631" s="8" t="s">
        <v>132</v>
      </c>
      <c r="F631" s="9" t="str">
        <f aca="false">HYPERLINK("https://vtmf.veevavault.com/ui/#doc_info/1437807/1/0", "42160443PAI2004-KOR--Approval (v1.0)")</f>
        <v>42160443PAI2004-KOR--Approval (v1.0)</v>
      </c>
      <c r="G631" s="8" t="s">
        <v>793</v>
      </c>
      <c r="H631" s="9" t="str">
        <f aca="false">HYPERLINK("https://vtmf.veevavault.com/ui/#doc_info/1437807/1/0", "EDMS-GCO-29812927")</f>
        <v>EDMS-GCO-29812927</v>
      </c>
    </row>
    <row r="632" customFormat="false" ht="14.25" hidden="false" customHeight="true" outlineLevel="0" collapsed="false">
      <c r="E632" s="8" t="s">
        <v>132</v>
      </c>
      <c r="F632" s="9" t="str">
        <f aca="false">HYPERLINK("https://vtmf.veevavault.com/ui/#doc_info/1437816/1/0", "42160443PAI2004-KOR--Approval (v1.0)")</f>
        <v>42160443PAI2004-KOR--Approval (v1.0)</v>
      </c>
      <c r="G632" s="8" t="s">
        <v>794</v>
      </c>
      <c r="H632" s="9" t="str">
        <f aca="false">HYPERLINK("https://vtmf.veevavault.com/ui/#doc_info/1437816/1/0", "EDMS-GCO-29812951")</f>
        <v>EDMS-GCO-29812951</v>
      </c>
    </row>
    <row r="633" customFormat="false" ht="14.25" hidden="false" customHeight="true" outlineLevel="0" collapsed="false">
      <c r="E633" s="8" t="s">
        <v>132</v>
      </c>
      <c r="F633" s="9" t="str">
        <f aca="false">HYPERLINK("https://vtmf.veevavault.com/ui/#doc_info/1437825/1/0", "42160443PAI2004-KOR--Approval (v1.0)")</f>
        <v>42160443PAI2004-KOR--Approval (v1.0)</v>
      </c>
      <c r="G633" s="8" t="s">
        <v>795</v>
      </c>
      <c r="H633" s="9" t="str">
        <f aca="false">HYPERLINK("https://vtmf.veevavault.com/ui/#doc_info/1437825/1/0", "EDMS-GCO-29812952")</f>
        <v>EDMS-GCO-29812952</v>
      </c>
    </row>
    <row r="634" customFormat="false" ht="14.25" hidden="false" customHeight="true" outlineLevel="0" collapsed="false">
      <c r="E634" s="8" t="s">
        <v>132</v>
      </c>
      <c r="F634" s="9" t="str">
        <f aca="false">HYPERLINK("https://vtmf.veevavault.com/ui/#doc_info/1437834/1/0", "42160443PAI2004-KOR--Approval (v1.0)")</f>
        <v>42160443PAI2004-KOR--Approval (v1.0)</v>
      </c>
      <c r="G634" s="8" t="s">
        <v>796</v>
      </c>
      <c r="H634" s="9" t="str">
        <f aca="false">HYPERLINK("https://vtmf.veevavault.com/ui/#doc_info/1437834/1/0", "EDMS-GCO-29812954")</f>
        <v>EDMS-GCO-29812954</v>
      </c>
    </row>
    <row r="635" customFormat="false" ht="14.25" hidden="false" customHeight="true" outlineLevel="0" collapsed="false">
      <c r="E635" s="8" t="s">
        <v>132</v>
      </c>
      <c r="F635" s="9" t="str">
        <f aca="false">HYPERLINK("https://vtmf.veevavault.com/ui/#doc_info/1437844/1/0", "42160443PAI2004-KOR--Approval (v1.0)")</f>
        <v>42160443PAI2004-KOR--Approval (v1.0)</v>
      </c>
      <c r="G635" s="8" t="s">
        <v>797</v>
      </c>
      <c r="H635" s="9" t="str">
        <f aca="false">HYPERLINK("https://vtmf.veevavault.com/ui/#doc_info/1437844/1/0", "EDMS-GCO-29812956")</f>
        <v>EDMS-GCO-29812956</v>
      </c>
    </row>
    <row r="636" customFormat="false" ht="14.25" hidden="false" customHeight="true" outlineLevel="0" collapsed="false">
      <c r="E636" s="8" t="s">
        <v>132</v>
      </c>
      <c r="F636" s="9" t="str">
        <f aca="false">HYPERLINK("https://vtmf.veevavault.com/ui/#doc_info/1437853/1/0", "42160443PAI2004-KOR--Approval (v1.0)")</f>
        <v>42160443PAI2004-KOR--Approval (v1.0)</v>
      </c>
      <c r="G636" s="8" t="s">
        <v>798</v>
      </c>
      <c r="H636" s="9" t="str">
        <f aca="false">HYPERLINK("https://vtmf.veevavault.com/ui/#doc_info/1437853/1/0", "EDMS-GCO-29812958")</f>
        <v>EDMS-GCO-29812958</v>
      </c>
    </row>
    <row r="637" customFormat="false" ht="14.25" hidden="false" customHeight="true" outlineLevel="0" collapsed="false">
      <c r="E637" s="8" t="s">
        <v>132</v>
      </c>
      <c r="F637" s="9" t="str">
        <f aca="false">HYPERLINK("https://vtmf.veevavault.com/ui/#doc_info/1437864/1/0", "42160443PAI2004-KOR--Approval (v1.0)")</f>
        <v>42160443PAI2004-KOR--Approval (v1.0)</v>
      </c>
      <c r="G637" s="8" t="s">
        <v>799</v>
      </c>
      <c r="H637" s="9" t="str">
        <f aca="false">HYPERLINK("https://vtmf.veevavault.com/ui/#doc_info/1437864/1/0", "EDMS-GCO-29812959")</f>
        <v>EDMS-GCO-29812959</v>
      </c>
    </row>
    <row r="638" customFormat="false" ht="14.25" hidden="false" customHeight="true" outlineLevel="0" collapsed="false">
      <c r="E638" s="8" t="s">
        <v>132</v>
      </c>
      <c r="F638" s="9" t="str">
        <f aca="false">HYPERLINK("https://vtmf.veevavault.com/ui/#doc_info/1437874/1/0", "42160443PAI2004-KOR--Approval (v1.0)")</f>
        <v>42160443PAI2004-KOR--Approval (v1.0)</v>
      </c>
      <c r="G638" s="8" t="s">
        <v>800</v>
      </c>
      <c r="H638" s="9" t="str">
        <f aca="false">HYPERLINK("https://vtmf.veevavault.com/ui/#doc_info/1437874/1/0", "EDMS-GCO-29812960")</f>
        <v>EDMS-GCO-29812960</v>
      </c>
    </row>
    <row r="639" customFormat="false" ht="14.25" hidden="false" customHeight="true" outlineLevel="0" collapsed="false">
      <c r="E639" s="8" t="s">
        <v>132</v>
      </c>
      <c r="F639" s="9" t="str">
        <f aca="false">HYPERLINK("https://vtmf.veevavault.com/ui/#doc_info/1437883/1/0", "42160443PAI2004-KOR--Approval (v1.0)")</f>
        <v>42160443PAI2004-KOR--Approval (v1.0)</v>
      </c>
      <c r="G639" s="8" t="s">
        <v>801</v>
      </c>
      <c r="H639" s="9" t="str">
        <f aca="false">HYPERLINK("https://vtmf.veevavault.com/ui/#doc_info/1437883/1/0", "EDMS-GCO-29812973")</f>
        <v>EDMS-GCO-29812973</v>
      </c>
    </row>
    <row r="640" customFormat="false" ht="14.25" hidden="false" customHeight="true" outlineLevel="0" collapsed="false">
      <c r="E640" s="8" t="s">
        <v>132</v>
      </c>
      <c r="F640" s="9" t="str">
        <f aca="false">HYPERLINK("https://vtmf.veevavault.com/ui/#doc_info/1437893/1/0", "42160443PAI2004-KOR--Approval (v1.0)")</f>
        <v>42160443PAI2004-KOR--Approval (v1.0)</v>
      </c>
      <c r="G640" s="8" t="s">
        <v>802</v>
      </c>
      <c r="H640" s="9" t="str">
        <f aca="false">HYPERLINK("https://vtmf.veevavault.com/ui/#doc_info/1437893/1/0", "EDMS-GCO-29812974")</f>
        <v>EDMS-GCO-29812974</v>
      </c>
    </row>
    <row r="641" customFormat="false" ht="14.25" hidden="false" customHeight="true" outlineLevel="0" collapsed="false">
      <c r="E641" s="8" t="s">
        <v>132</v>
      </c>
      <c r="F641" s="9" t="str">
        <f aca="false">HYPERLINK("https://vtmf.veevavault.com/ui/#doc_info/1437902/1/0", "42160443PAI2004-KOR--Approval (v1.0)")</f>
        <v>42160443PAI2004-KOR--Approval (v1.0)</v>
      </c>
      <c r="G641" s="8" t="s">
        <v>803</v>
      </c>
      <c r="H641" s="9" t="str">
        <f aca="false">HYPERLINK("https://vtmf.veevavault.com/ui/#doc_info/1437902/1/0", "EDMS-GCO-29812975")</f>
        <v>EDMS-GCO-29812975</v>
      </c>
    </row>
    <row r="642" customFormat="false" ht="14.25" hidden="false" customHeight="true" outlineLevel="0" collapsed="false">
      <c r="E642" s="8" t="s">
        <v>132</v>
      </c>
      <c r="F642" s="9" t="str">
        <f aca="false">HYPERLINK("https://vtmf.veevavault.com/ui/#doc_info/1437911/1/0", "42160443PAI2004-KOR--Approval (v1.0)")</f>
        <v>42160443PAI2004-KOR--Approval (v1.0)</v>
      </c>
      <c r="G642" s="8" t="s">
        <v>804</v>
      </c>
      <c r="H642" s="9" t="str">
        <f aca="false">HYPERLINK("https://vtmf.veevavault.com/ui/#doc_info/1437911/1/0", "EDMS-GCO-29812976")</f>
        <v>EDMS-GCO-29812976</v>
      </c>
    </row>
    <row r="643" customFormat="false" ht="14.25" hidden="false" customHeight="true" outlineLevel="0" collapsed="false">
      <c r="E643" s="8" t="s">
        <v>132</v>
      </c>
      <c r="F643" s="9" t="str">
        <f aca="false">HYPERLINK("https://vtmf.veevavault.com/ui/#doc_info/1437919/1/0", "42160443PAI2004-KOR--Approval (v1.0)")</f>
        <v>42160443PAI2004-KOR--Approval (v1.0)</v>
      </c>
      <c r="G643" s="8" t="s">
        <v>805</v>
      </c>
      <c r="H643" s="9" t="str">
        <f aca="false">HYPERLINK("https://vtmf.veevavault.com/ui/#doc_info/1437919/1/0", "EDMS-GCO-29812977")</f>
        <v>EDMS-GCO-29812977</v>
      </c>
    </row>
    <row r="644" customFormat="false" ht="14.25" hidden="false" customHeight="true" outlineLevel="0" collapsed="false">
      <c r="E644" s="8" t="s">
        <v>132</v>
      </c>
      <c r="F644" s="9" t="str">
        <f aca="false">HYPERLINK("https://vtmf.veevavault.com/ui/#doc_info/1437928/1/0", "42160443PAI2004-KOR--Approval (v1.0)")</f>
        <v>42160443PAI2004-KOR--Approval (v1.0)</v>
      </c>
      <c r="G644" s="8" t="s">
        <v>806</v>
      </c>
      <c r="H644" s="9" t="str">
        <f aca="false">HYPERLINK("https://vtmf.veevavault.com/ui/#doc_info/1437928/1/0", "EDMS-GCO-29812978")</f>
        <v>EDMS-GCO-29812978</v>
      </c>
    </row>
    <row r="645" customFormat="false" ht="14.25" hidden="false" customHeight="true" outlineLevel="0" collapsed="false">
      <c r="E645" s="8" t="s">
        <v>132</v>
      </c>
      <c r="F645" s="9" t="str">
        <f aca="false">HYPERLINK("https://vtmf.veevavault.com/ui/#doc_info/1437937/1/0", "42160443PAI2004-KOR--Approval (v1.0)")</f>
        <v>42160443PAI2004-KOR--Approval (v1.0)</v>
      </c>
      <c r="G645" s="8" t="s">
        <v>807</v>
      </c>
      <c r="H645" s="9" t="str">
        <f aca="false">HYPERLINK("https://vtmf.veevavault.com/ui/#doc_info/1437937/1/0", "EDMS-GCO-29812979")</f>
        <v>EDMS-GCO-29812979</v>
      </c>
    </row>
    <row r="646" customFormat="false" ht="14.25" hidden="false" customHeight="true" outlineLevel="0" collapsed="false">
      <c r="E646" s="8" t="s">
        <v>132</v>
      </c>
      <c r="F646" s="9" t="str">
        <f aca="false">HYPERLINK("https://vtmf.veevavault.com/ui/#doc_info/1437946/1/0", "42160443PAI2004-KOR--Approval (v1.0)")</f>
        <v>42160443PAI2004-KOR--Approval (v1.0)</v>
      </c>
      <c r="G646" s="8" t="s">
        <v>808</v>
      </c>
      <c r="H646" s="9" t="str">
        <f aca="false">HYPERLINK("https://vtmf.veevavault.com/ui/#doc_info/1437946/1/0", "EDMS-GCO-29812980")</f>
        <v>EDMS-GCO-29812980</v>
      </c>
    </row>
    <row r="647" customFormat="false" ht="14.25" hidden="false" customHeight="true" outlineLevel="0" collapsed="false">
      <c r="E647" s="8" t="s">
        <v>132</v>
      </c>
      <c r="F647" s="9" t="str">
        <f aca="false">HYPERLINK("https://vtmf.veevavault.com/ui/#doc_info/1437957/1/0", "42160443PAI2004-KOR--Approval (v1.0)")</f>
        <v>42160443PAI2004-KOR--Approval (v1.0)</v>
      </c>
      <c r="G647" s="8" t="s">
        <v>809</v>
      </c>
      <c r="H647" s="9" t="str">
        <f aca="false">HYPERLINK("https://vtmf.veevavault.com/ui/#doc_info/1437957/1/0", "EDMS-GCO-29812981")</f>
        <v>EDMS-GCO-29812981</v>
      </c>
    </row>
    <row r="648" customFormat="false" ht="14.25" hidden="false" customHeight="true" outlineLevel="0" collapsed="false">
      <c r="E648" s="8" t="s">
        <v>132</v>
      </c>
      <c r="F648" s="9" t="str">
        <f aca="false">HYPERLINK("https://vtmf.veevavault.com/ui/#doc_info/1437966/1/0", "42160443PAI2004-KOR--Approval (v1.0)")</f>
        <v>42160443PAI2004-KOR--Approval (v1.0)</v>
      </c>
      <c r="G648" s="8" t="s">
        <v>810</v>
      </c>
      <c r="H648" s="9" t="str">
        <f aca="false">HYPERLINK("https://vtmf.veevavault.com/ui/#doc_info/1437966/1/0", "EDMS-GCO-29812982")</f>
        <v>EDMS-GCO-29812982</v>
      </c>
    </row>
    <row r="649" customFormat="false" ht="14.25" hidden="false" customHeight="true" outlineLevel="0" collapsed="false">
      <c r="E649" s="8" t="s">
        <v>132</v>
      </c>
      <c r="F649" s="9" t="str">
        <f aca="false">HYPERLINK("https://vtmf.veevavault.com/ui/#doc_info/1437976/1/0", "42160443PAI2004-KOR--Approval (v1.0)")</f>
        <v>42160443PAI2004-KOR--Approval (v1.0)</v>
      </c>
      <c r="G649" s="8" t="s">
        <v>811</v>
      </c>
      <c r="H649" s="9" t="str">
        <f aca="false">HYPERLINK("https://vtmf.veevavault.com/ui/#doc_info/1437976/1/0", "EDMS-GCO-29825281")</f>
        <v>EDMS-GCO-29825281</v>
      </c>
    </row>
    <row r="650" customFormat="false" ht="14.25" hidden="false" customHeight="true" outlineLevel="0" collapsed="false">
      <c r="E650" s="8" t="s">
        <v>132</v>
      </c>
      <c r="F650" s="9" t="str">
        <f aca="false">HYPERLINK("https://vtmf.veevavault.com/ui/#doc_info/1437985/1/0", "42160443PAI2004-KOR--Approval (v1.0)")</f>
        <v>42160443PAI2004-KOR--Approval (v1.0)</v>
      </c>
      <c r="G650" s="8" t="s">
        <v>812</v>
      </c>
      <c r="H650" s="9" t="str">
        <f aca="false">HYPERLINK("https://vtmf.veevavault.com/ui/#doc_info/1437985/1/0", "EDMS-GCO-29825283")</f>
        <v>EDMS-GCO-29825283</v>
      </c>
    </row>
    <row r="651" customFormat="false" ht="14.25" hidden="false" customHeight="true" outlineLevel="0" collapsed="false">
      <c r="E651" s="8" t="s">
        <v>132</v>
      </c>
      <c r="F651" s="9" t="str">
        <f aca="false">HYPERLINK("https://vtmf.veevavault.com/ui/#doc_info/1437995/1/0", "42160443PAI2004-KOR--Approval (v1.0)")</f>
        <v>42160443PAI2004-KOR--Approval (v1.0)</v>
      </c>
      <c r="G651" s="8" t="s">
        <v>813</v>
      </c>
      <c r="H651" s="9" t="str">
        <f aca="false">HYPERLINK("https://vtmf.veevavault.com/ui/#doc_info/1437995/1/0", "EDMS-GCO-29825284")</f>
        <v>EDMS-GCO-29825284</v>
      </c>
    </row>
    <row r="652" customFormat="false" ht="14.25" hidden="false" customHeight="true" outlineLevel="0" collapsed="false">
      <c r="E652" s="8" t="s">
        <v>132</v>
      </c>
      <c r="F652" s="9" t="str">
        <f aca="false">HYPERLINK("https://vtmf.veevavault.com/ui/#doc_info/1438004/1/0", "42160443PAI2004-KOR--Approval (v1.0)")</f>
        <v>42160443PAI2004-KOR--Approval (v1.0)</v>
      </c>
      <c r="G652" s="8" t="s">
        <v>814</v>
      </c>
      <c r="H652" s="9" t="str">
        <f aca="false">HYPERLINK("https://vtmf.veevavault.com/ui/#doc_info/1438004/1/0", "EDMS-GCO-29825285")</f>
        <v>EDMS-GCO-29825285</v>
      </c>
    </row>
    <row r="653" customFormat="false" ht="14.25" hidden="false" customHeight="true" outlineLevel="0" collapsed="false">
      <c r="E653" s="8" t="s">
        <v>132</v>
      </c>
      <c r="F653" s="9" t="str">
        <f aca="false">HYPERLINK("https://vtmf.veevavault.com/ui/#doc_info/1438014/1/0", "42160443PAI2004-KOR--Approval (v1.0)")</f>
        <v>42160443PAI2004-KOR--Approval (v1.0)</v>
      </c>
      <c r="G653" s="8" t="s">
        <v>815</v>
      </c>
      <c r="H653" s="9" t="str">
        <f aca="false">HYPERLINK("https://vtmf.veevavault.com/ui/#doc_info/1438014/1/0", "EDMS-GCO-29825332")</f>
        <v>EDMS-GCO-29825332</v>
      </c>
    </row>
    <row r="654" customFormat="false" ht="14.25" hidden="false" customHeight="true" outlineLevel="0" collapsed="false">
      <c r="E654" s="8" t="s">
        <v>132</v>
      </c>
      <c r="F654" s="9" t="str">
        <f aca="false">HYPERLINK("https://vtmf.veevavault.com/ui/#doc_info/1438024/1/0", "42160443PAI2004-KOR--Approval (v1.0)")</f>
        <v>42160443PAI2004-KOR--Approval (v1.0)</v>
      </c>
      <c r="G654" s="8" t="s">
        <v>816</v>
      </c>
      <c r="H654" s="9" t="str">
        <f aca="false">HYPERLINK("https://vtmf.veevavault.com/ui/#doc_info/1438024/1/0", "EDMS-GCO-29825336")</f>
        <v>EDMS-GCO-29825336</v>
      </c>
    </row>
    <row r="655" customFormat="false" ht="14.25" hidden="false" customHeight="true" outlineLevel="0" collapsed="false">
      <c r="E655" s="8" t="s">
        <v>132</v>
      </c>
      <c r="F655" s="9" t="str">
        <f aca="false">HYPERLINK("https://vtmf.veevavault.com/ui/#doc_info/1438034/1/0", "42160443PAI2004-KOR--Approval (v1.0)")</f>
        <v>42160443PAI2004-KOR--Approval (v1.0)</v>
      </c>
      <c r="G655" s="8" t="s">
        <v>817</v>
      </c>
      <c r="H655" s="9" t="str">
        <f aca="false">HYPERLINK("https://vtmf.veevavault.com/ui/#doc_info/1438034/1/0", "EDMS-GCO-29825337")</f>
        <v>EDMS-GCO-29825337</v>
      </c>
    </row>
    <row r="656" customFormat="false" ht="14.25" hidden="false" customHeight="true" outlineLevel="0" collapsed="false">
      <c r="E656" s="8" t="s">
        <v>132</v>
      </c>
      <c r="F656" s="9" t="str">
        <f aca="false">HYPERLINK("https://vtmf.veevavault.com/ui/#doc_info/1438043/1/0", "42160443PAI2004-KOR--Approval (v1.0)")</f>
        <v>42160443PAI2004-KOR--Approval (v1.0)</v>
      </c>
      <c r="G656" s="8" t="s">
        <v>818</v>
      </c>
      <c r="H656" s="9" t="str">
        <f aca="false">HYPERLINK("https://vtmf.veevavault.com/ui/#doc_info/1438043/1/0", "EDMS-GCO-29825338")</f>
        <v>EDMS-GCO-29825338</v>
      </c>
    </row>
    <row r="657" customFormat="false" ht="14.25" hidden="false" customHeight="true" outlineLevel="0" collapsed="false">
      <c r="E657" s="8" t="s">
        <v>132</v>
      </c>
      <c r="F657" s="9" t="str">
        <f aca="false">HYPERLINK("https://vtmf.veevavault.com/ui/#doc_info/1438052/1/0", "42160443PAI2004-KOR--Approval (v1.0)")</f>
        <v>42160443PAI2004-KOR--Approval (v1.0)</v>
      </c>
      <c r="G657" s="8" t="s">
        <v>819</v>
      </c>
      <c r="H657" s="9" t="str">
        <f aca="false">HYPERLINK("https://vtmf.veevavault.com/ui/#doc_info/1438052/1/0", "EDMS-GCO-29825339")</f>
        <v>EDMS-GCO-29825339</v>
      </c>
    </row>
    <row r="658" customFormat="false" ht="14.25" hidden="false" customHeight="true" outlineLevel="0" collapsed="false">
      <c r="E658" s="8" t="s">
        <v>132</v>
      </c>
      <c r="F658" s="9" t="str">
        <f aca="false">HYPERLINK("https://vtmf.veevavault.com/ui/#doc_info/1438059/1/0", "42160443PAI2004-KOR--Approval (v1.0)")</f>
        <v>42160443PAI2004-KOR--Approval (v1.0)</v>
      </c>
      <c r="G658" s="8" t="s">
        <v>820</v>
      </c>
      <c r="H658" s="9" t="str">
        <f aca="false">HYPERLINK("https://vtmf.veevavault.com/ui/#doc_info/1438059/1/0", "EDMS-GCO-29825340")</f>
        <v>EDMS-GCO-29825340</v>
      </c>
    </row>
    <row r="659" customFormat="false" ht="14.25" hidden="false" customHeight="true" outlineLevel="0" collapsed="false">
      <c r="E659" s="8" t="s">
        <v>132</v>
      </c>
      <c r="F659" s="9" t="str">
        <f aca="false">HYPERLINK("https://vtmf.veevavault.com/ui/#doc_info/1438070/1/0", "42160443PAI2004-KOR--Approval (v1.0)")</f>
        <v>42160443PAI2004-KOR--Approval (v1.0)</v>
      </c>
      <c r="G659" s="8" t="s">
        <v>821</v>
      </c>
      <c r="H659" s="9" t="str">
        <f aca="false">HYPERLINK("https://vtmf.veevavault.com/ui/#doc_info/1438070/1/0", "EDMS-GCO-29825341")</f>
        <v>EDMS-GCO-29825341</v>
      </c>
    </row>
    <row r="660" customFormat="false" ht="14.25" hidden="false" customHeight="true" outlineLevel="0" collapsed="false">
      <c r="E660" s="8" t="s">
        <v>132</v>
      </c>
      <c r="F660" s="9" t="str">
        <f aca="false">HYPERLINK("https://vtmf.veevavault.com/ui/#doc_info/1438079/1/0", "42160443PAI2004-KOR--Approval (v1.0)")</f>
        <v>42160443PAI2004-KOR--Approval (v1.0)</v>
      </c>
      <c r="G660" s="8" t="s">
        <v>822</v>
      </c>
      <c r="H660" s="9" t="str">
        <f aca="false">HYPERLINK("https://vtmf.veevavault.com/ui/#doc_info/1438079/1/0", "EDMS-GCO-29825342")</f>
        <v>EDMS-GCO-29825342</v>
      </c>
    </row>
    <row r="661" customFormat="false" ht="14.25" hidden="false" customHeight="true" outlineLevel="0" collapsed="false">
      <c r="E661" s="8" t="s">
        <v>132</v>
      </c>
      <c r="F661" s="9" t="str">
        <f aca="false">HYPERLINK("https://vtmf.veevavault.com/ui/#doc_info/1438090/1/0", "42160443PAI2004-KOR--Approval (v1.0)")</f>
        <v>42160443PAI2004-KOR--Approval (v1.0)</v>
      </c>
      <c r="G661" s="8" t="s">
        <v>823</v>
      </c>
      <c r="H661" s="9" t="str">
        <f aca="false">HYPERLINK("https://vtmf.veevavault.com/ui/#doc_info/1438090/1/0", "EDMS-GCO-29825343")</f>
        <v>EDMS-GCO-29825343</v>
      </c>
    </row>
    <row r="662" customFormat="false" ht="14.25" hidden="false" customHeight="true" outlineLevel="0" collapsed="false">
      <c r="E662" s="8" t="s">
        <v>132</v>
      </c>
      <c r="F662" s="9" t="str">
        <f aca="false">HYPERLINK("https://vtmf.veevavault.com/ui/#doc_info/1438099/1/0", "42160443PAI2004-KOR--Approval (v1.0)")</f>
        <v>42160443PAI2004-KOR--Approval (v1.0)</v>
      </c>
      <c r="G662" s="8" t="s">
        <v>824</v>
      </c>
      <c r="H662" s="9" t="str">
        <f aca="false">HYPERLINK("https://vtmf.veevavault.com/ui/#doc_info/1438099/1/0", "EDMS-GCO-29825344")</f>
        <v>EDMS-GCO-29825344</v>
      </c>
    </row>
    <row r="663" customFormat="false" ht="14.25" hidden="false" customHeight="true" outlineLevel="0" collapsed="false">
      <c r="E663" s="8" t="s">
        <v>132</v>
      </c>
      <c r="F663" s="9" t="str">
        <f aca="false">HYPERLINK("https://vtmf.veevavault.com/ui/#doc_info/1438109/1/0", "42160443PAI2004-KOR--Approval (v1.0)")</f>
        <v>42160443PAI2004-KOR--Approval (v1.0)</v>
      </c>
      <c r="G663" s="8" t="s">
        <v>825</v>
      </c>
      <c r="H663" s="9" t="str">
        <f aca="false">HYPERLINK("https://vtmf.veevavault.com/ui/#doc_info/1438109/1/0", "EDMS-GCO-29825345")</f>
        <v>EDMS-GCO-29825345</v>
      </c>
    </row>
    <row r="664" customFormat="false" ht="14.25" hidden="false" customHeight="true" outlineLevel="0" collapsed="false">
      <c r="E664" s="8" t="s">
        <v>132</v>
      </c>
      <c r="F664" s="9" t="str">
        <f aca="false">HYPERLINK("https://vtmf.veevavault.com/ui/#doc_info/1438118/1/0", "42160443PAI2004-KOR--Approval (v1.0)")</f>
        <v>42160443PAI2004-KOR--Approval (v1.0)</v>
      </c>
      <c r="G664" s="8" t="s">
        <v>826</v>
      </c>
      <c r="H664" s="9" t="str">
        <f aca="false">HYPERLINK("https://vtmf.veevavault.com/ui/#doc_info/1438118/1/0", "EDMS-GCO-29825357")</f>
        <v>EDMS-GCO-29825357</v>
      </c>
    </row>
    <row r="665" customFormat="false" ht="14.25" hidden="false" customHeight="true" outlineLevel="0" collapsed="false">
      <c r="E665" s="8" t="s">
        <v>132</v>
      </c>
      <c r="F665" s="9" t="str">
        <f aca="false">HYPERLINK("https://vtmf.veevavault.com/ui/#doc_info/1438127/1/0", "42160443PAI2004-KOR--Approval (v1.0)")</f>
        <v>42160443PAI2004-KOR--Approval (v1.0)</v>
      </c>
      <c r="G665" s="8" t="s">
        <v>827</v>
      </c>
      <c r="H665" s="9" t="str">
        <f aca="false">HYPERLINK("https://vtmf.veevavault.com/ui/#doc_info/1438127/1/0", "EDMS-GCO-29825358")</f>
        <v>EDMS-GCO-29825358</v>
      </c>
    </row>
    <row r="666" customFormat="false" ht="14.25" hidden="false" customHeight="true" outlineLevel="0" collapsed="false">
      <c r="E666" s="8" t="s">
        <v>132</v>
      </c>
      <c r="F666" s="9" t="str">
        <f aca="false">HYPERLINK("https://vtmf.veevavault.com/ui/#doc_info/1438136/1/0", "42160443PAI2004-KOR--Approval (v1.0)")</f>
        <v>42160443PAI2004-KOR--Approval (v1.0)</v>
      </c>
      <c r="G666" s="8" t="s">
        <v>828</v>
      </c>
      <c r="H666" s="9" t="str">
        <f aca="false">HYPERLINK("https://vtmf.veevavault.com/ui/#doc_info/1438136/1/0", "EDMS-GCO-29825359")</f>
        <v>EDMS-GCO-29825359</v>
      </c>
    </row>
    <row r="667" customFormat="false" ht="14.25" hidden="false" customHeight="true" outlineLevel="0" collapsed="false">
      <c r="E667" s="8" t="s">
        <v>132</v>
      </c>
      <c r="F667" s="9" t="str">
        <f aca="false">HYPERLINK("https://vtmf.veevavault.com/ui/#doc_info/1438143/1/0", "42160443PAI2004-KOR--Approval (v1.0)")</f>
        <v>42160443PAI2004-KOR--Approval (v1.0)</v>
      </c>
      <c r="G667" s="8" t="s">
        <v>829</v>
      </c>
      <c r="H667" s="9" t="str">
        <f aca="false">HYPERLINK("https://vtmf.veevavault.com/ui/#doc_info/1438143/1/0", "EDMS-GCO-29825360")</f>
        <v>EDMS-GCO-29825360</v>
      </c>
    </row>
    <row r="668" customFormat="false" ht="14.25" hidden="false" customHeight="true" outlineLevel="0" collapsed="false">
      <c r="E668" s="8" t="s">
        <v>132</v>
      </c>
      <c r="F668" s="9" t="str">
        <f aca="false">HYPERLINK("https://vtmf.veevavault.com/ui/#doc_info/1438153/1/0", "42160443PAI2004-KOR--Approval (v1.0)")</f>
        <v>42160443PAI2004-KOR--Approval (v1.0)</v>
      </c>
      <c r="G668" s="8" t="s">
        <v>830</v>
      </c>
      <c r="H668" s="9" t="str">
        <f aca="false">HYPERLINK("https://vtmf.veevavault.com/ui/#doc_info/1438153/1/0", "EDMS-GCO-29825361")</f>
        <v>EDMS-GCO-29825361</v>
      </c>
    </row>
    <row r="669" customFormat="false" ht="14.25" hidden="false" customHeight="true" outlineLevel="0" collapsed="false">
      <c r="E669" s="8" t="s">
        <v>132</v>
      </c>
      <c r="F669" s="9" t="str">
        <f aca="false">HYPERLINK("https://vtmf.veevavault.com/ui/#doc_info/1438163/1/0", "42160443PAI2004-KOR--Approval (v1.0)")</f>
        <v>42160443PAI2004-KOR--Approval (v1.0)</v>
      </c>
      <c r="G669" s="8" t="s">
        <v>831</v>
      </c>
      <c r="H669" s="9" t="str">
        <f aca="false">HYPERLINK("https://vtmf.veevavault.com/ui/#doc_info/1438163/1/0", "EDMS-GCO-29825362")</f>
        <v>EDMS-GCO-29825362</v>
      </c>
    </row>
    <row r="670" customFormat="false" ht="14.25" hidden="false" customHeight="true" outlineLevel="0" collapsed="false">
      <c r="E670" s="8" t="s">
        <v>132</v>
      </c>
      <c r="F670" s="9" t="str">
        <f aca="false">HYPERLINK("https://vtmf.veevavault.com/ui/#doc_info/1438173/1/0", "42160443PAI2004-KOR--Approval (v1.0)")</f>
        <v>42160443PAI2004-KOR--Approval (v1.0)</v>
      </c>
      <c r="G670" s="8" t="s">
        <v>832</v>
      </c>
      <c r="H670" s="9" t="str">
        <f aca="false">HYPERLINK("https://vtmf.veevavault.com/ui/#doc_info/1438173/1/0", "EDMS-GCO-29825363")</f>
        <v>EDMS-GCO-29825363</v>
      </c>
    </row>
    <row r="671" customFormat="false" ht="14.25" hidden="false" customHeight="true" outlineLevel="0" collapsed="false">
      <c r="E671" s="8" t="s">
        <v>132</v>
      </c>
      <c r="F671" s="9" t="str">
        <f aca="false">HYPERLINK("https://vtmf.veevavault.com/ui/#doc_info/1438184/1/0", "42160443PAI2004-KOR--Approval (v1.0)")</f>
        <v>42160443PAI2004-KOR--Approval (v1.0)</v>
      </c>
      <c r="G671" s="8" t="s">
        <v>833</v>
      </c>
      <c r="H671" s="9" t="str">
        <f aca="false">HYPERLINK("https://vtmf.veevavault.com/ui/#doc_info/1438184/1/0", "EDMS-GCO-29825364")</f>
        <v>EDMS-GCO-29825364</v>
      </c>
    </row>
    <row r="672" customFormat="false" ht="14.25" hidden="false" customHeight="true" outlineLevel="0" collapsed="false">
      <c r="E672" s="8" t="s">
        <v>132</v>
      </c>
      <c r="F672" s="9" t="str">
        <f aca="false">HYPERLINK("https://vtmf.veevavault.com/ui/#doc_info/1438683/1/0", "42160443PAI2004-KOR--Approval (v1.0)")</f>
        <v>42160443PAI2004-KOR--Approval (v1.0)</v>
      </c>
      <c r="G672" s="8" t="s">
        <v>834</v>
      </c>
      <c r="H672" s="9" t="str">
        <f aca="false">HYPERLINK("https://vtmf.veevavault.com/ui/#doc_info/1438683/1/0", "EDMS-GCO-29825966")</f>
        <v>EDMS-GCO-29825966</v>
      </c>
    </row>
    <row r="673" customFormat="false" ht="14.25" hidden="false" customHeight="true" outlineLevel="0" collapsed="false">
      <c r="E673" s="8" t="s">
        <v>132</v>
      </c>
      <c r="F673" s="9" t="str">
        <f aca="false">HYPERLINK("https://vtmf.veevavault.com/ui/#doc_info/1438697/1/0", "42160443PAI2004-KOR--Approval (v1.0)")</f>
        <v>42160443PAI2004-KOR--Approval (v1.0)</v>
      </c>
      <c r="G673" s="8" t="s">
        <v>835</v>
      </c>
      <c r="H673" s="9" t="str">
        <f aca="false">HYPERLINK("https://vtmf.veevavault.com/ui/#doc_info/1438697/1/0", "EDMS-GCO-29825967")</f>
        <v>EDMS-GCO-29825967</v>
      </c>
    </row>
    <row r="674" customFormat="false" ht="14.25" hidden="false" customHeight="true" outlineLevel="0" collapsed="false">
      <c r="E674" s="8" t="s">
        <v>132</v>
      </c>
      <c r="F674" s="9" t="str">
        <f aca="false">HYPERLINK("https://vtmf.veevavault.com/ui/#doc_info/1438707/1/0", "42160443PAI2004-KOR--Approval (v1.0)")</f>
        <v>42160443PAI2004-KOR--Approval (v1.0)</v>
      </c>
      <c r="G674" s="8" t="s">
        <v>836</v>
      </c>
      <c r="H674" s="9" t="str">
        <f aca="false">HYPERLINK("https://vtmf.veevavault.com/ui/#doc_info/1438707/1/0", "EDMS-GCO-29825968")</f>
        <v>EDMS-GCO-29825968</v>
      </c>
    </row>
    <row r="675" customFormat="false" ht="14.25" hidden="false" customHeight="true" outlineLevel="0" collapsed="false">
      <c r="E675" s="8" t="s">
        <v>132</v>
      </c>
      <c r="F675" s="9" t="str">
        <f aca="false">HYPERLINK("https://vtmf.veevavault.com/ui/#doc_info/1438718/1/0", "42160443PAI2004-KOR--Approval (v1.0)")</f>
        <v>42160443PAI2004-KOR--Approval (v1.0)</v>
      </c>
      <c r="G675" s="8" t="s">
        <v>837</v>
      </c>
      <c r="H675" s="9" t="str">
        <f aca="false">HYPERLINK("https://vtmf.veevavault.com/ui/#doc_info/1438718/1/0", "EDMS-GCO-29825969")</f>
        <v>EDMS-GCO-29825969</v>
      </c>
    </row>
    <row r="676" customFormat="false" ht="14.25" hidden="false" customHeight="true" outlineLevel="0" collapsed="false">
      <c r="E676" s="8" t="s">
        <v>132</v>
      </c>
      <c r="F676" s="9" t="str">
        <f aca="false">HYPERLINK("https://vtmf.veevavault.com/ui/#doc_info/1438729/1/0", "42160443PAI2004-KOR--Approval (v1.0)")</f>
        <v>42160443PAI2004-KOR--Approval (v1.0)</v>
      </c>
      <c r="G676" s="8" t="s">
        <v>838</v>
      </c>
      <c r="H676" s="9" t="str">
        <f aca="false">HYPERLINK("https://vtmf.veevavault.com/ui/#doc_info/1438729/1/0", "EDMS-GCO-29825983")</f>
        <v>EDMS-GCO-29825983</v>
      </c>
    </row>
    <row r="677" customFormat="false" ht="14.25" hidden="false" customHeight="true" outlineLevel="0" collapsed="false">
      <c r="E677" s="8" t="s">
        <v>132</v>
      </c>
      <c r="F677" s="9" t="str">
        <f aca="false">HYPERLINK("https://vtmf.veevavault.com/ui/#doc_info/1438739/1/0", "42160443PAI2004-KOR--Approval (v1.0)")</f>
        <v>42160443PAI2004-KOR--Approval (v1.0)</v>
      </c>
      <c r="G677" s="8" t="s">
        <v>839</v>
      </c>
      <c r="H677" s="9" t="str">
        <f aca="false">HYPERLINK("https://vtmf.veevavault.com/ui/#doc_info/1438739/1/0", "EDMS-GCO-29825984")</f>
        <v>EDMS-GCO-29825984</v>
      </c>
    </row>
    <row r="678" customFormat="false" ht="14.25" hidden="false" customHeight="true" outlineLevel="0" collapsed="false">
      <c r="E678" s="8" t="s">
        <v>132</v>
      </c>
      <c r="F678" s="9" t="str">
        <f aca="false">HYPERLINK("https://vtmf.veevavault.com/ui/#doc_info/1439551/1/0", "42160443PAI2004-KOR--Approval (v1.0)")</f>
        <v>42160443PAI2004-KOR--Approval (v1.0)</v>
      </c>
      <c r="G678" s="8" t="s">
        <v>840</v>
      </c>
      <c r="H678" s="9" t="str">
        <f aca="false">HYPERLINK("https://vtmf.veevavault.com/ui/#doc_info/1439551/1/0", "EDMS-GCO-29907155")</f>
        <v>EDMS-GCO-29907155</v>
      </c>
    </row>
    <row r="679" customFormat="false" ht="14.25" hidden="false" customHeight="true" outlineLevel="0" collapsed="false">
      <c r="E679" s="8" t="s">
        <v>132</v>
      </c>
      <c r="F679" s="9" t="str">
        <f aca="false">HYPERLINK("https://vtmf.veevavault.com/ui/#doc_info/1462441/1/0", "42160443PAI2004-KOR--Approval (v1.0)")</f>
        <v>42160443PAI2004-KOR--Approval (v1.0)</v>
      </c>
      <c r="G679" s="8" t="s">
        <v>841</v>
      </c>
      <c r="H679" s="9" t="str">
        <f aca="false">HYPERLINK("https://vtmf.veevavault.com/ui/#doc_info/1462441/1/0", "EDMS-GCO-35562201")</f>
        <v>EDMS-GCO-35562201</v>
      </c>
    </row>
    <row r="680" customFormat="false" ht="14.25" hidden="false" customHeight="true" outlineLevel="0" collapsed="false">
      <c r="E680" s="8" t="s">
        <v>132</v>
      </c>
      <c r="F680" s="9" t="str">
        <f aca="false">HYPERLINK("https://vtmf.veevavault.com/ui/#doc_info/1462449/1/0", "42160443PAI2004-KOR--Approval (v1.0)")</f>
        <v>42160443PAI2004-KOR--Approval (v1.0)</v>
      </c>
      <c r="G680" s="8" t="s">
        <v>842</v>
      </c>
      <c r="H680" s="9" t="str">
        <f aca="false">HYPERLINK("https://vtmf.veevavault.com/ui/#doc_info/1462449/1/0", "EDMS-GCO-35562202")</f>
        <v>EDMS-GCO-35562202</v>
      </c>
    </row>
    <row r="681" customFormat="false" ht="14.25" hidden="false" customHeight="true" outlineLevel="0" collapsed="false">
      <c r="E681" s="8" t="s">
        <v>132</v>
      </c>
      <c r="F681" s="9" t="str">
        <f aca="false">HYPERLINK("https://vtmf.veevavault.com/ui/#doc_info/1462457/1/0", "42160443PAI2004-KOR--Approval (v1.0)")</f>
        <v>42160443PAI2004-KOR--Approval (v1.0)</v>
      </c>
      <c r="G681" s="8" t="s">
        <v>843</v>
      </c>
      <c r="H681" s="9" t="str">
        <f aca="false">HYPERLINK("https://vtmf.veevavault.com/ui/#doc_info/1462457/1/0", "EDMS-GCO-35562203")</f>
        <v>EDMS-GCO-35562203</v>
      </c>
    </row>
    <row r="682" customFormat="false" ht="14.25" hidden="false" customHeight="true" outlineLevel="0" collapsed="false">
      <c r="E682" s="8" t="s">
        <v>132</v>
      </c>
      <c r="F682" s="9" t="str">
        <f aca="false">HYPERLINK("https://vtmf.veevavault.com/ui/#doc_info/1462464/1/0", "42160443PAI2004-KOR--Approval (v1.0)")</f>
        <v>42160443PAI2004-KOR--Approval (v1.0)</v>
      </c>
      <c r="G682" s="8" t="s">
        <v>844</v>
      </c>
      <c r="H682" s="9" t="str">
        <f aca="false">HYPERLINK("https://vtmf.veevavault.com/ui/#doc_info/1462464/1/0", "EDMS-GCO-35562205")</f>
        <v>EDMS-GCO-35562205</v>
      </c>
    </row>
    <row r="683" customFormat="false" ht="14.25" hidden="false" customHeight="true" outlineLevel="0" collapsed="false">
      <c r="E683" s="8" t="s">
        <v>132</v>
      </c>
      <c r="F683" s="9" t="str">
        <f aca="false">HYPERLINK("https://vtmf.veevavault.com/ui/#doc_info/1462475/1/0", "42160443PAI2004-KOR--Approval (v1.0)")</f>
        <v>42160443PAI2004-KOR--Approval (v1.0)</v>
      </c>
      <c r="G683" s="8" t="s">
        <v>845</v>
      </c>
      <c r="H683" s="9" t="str">
        <f aca="false">HYPERLINK("https://vtmf.veevavault.com/ui/#doc_info/1462475/1/0", "EDMS-GCO-35562206")</f>
        <v>EDMS-GCO-35562206</v>
      </c>
    </row>
    <row r="684" customFormat="false" ht="14.25" hidden="false" customHeight="true" outlineLevel="0" collapsed="false">
      <c r="E684" s="8" t="s">
        <v>132</v>
      </c>
      <c r="F684" s="9" t="str">
        <f aca="false">HYPERLINK("https://vtmf.veevavault.com/ui/#doc_info/1462484/1/0", "42160443PAI2004-KOR--Approval (v1.0)")</f>
        <v>42160443PAI2004-KOR--Approval (v1.0)</v>
      </c>
      <c r="G684" s="8" t="s">
        <v>846</v>
      </c>
      <c r="H684" s="9" t="str">
        <f aca="false">HYPERLINK("https://vtmf.veevavault.com/ui/#doc_info/1462484/1/0", "EDMS-GCO-35562207")</f>
        <v>EDMS-GCO-35562207</v>
      </c>
    </row>
    <row r="685" customFormat="false" ht="14.25" hidden="false" customHeight="true" outlineLevel="0" collapsed="false">
      <c r="E685" s="8" t="s">
        <v>132</v>
      </c>
      <c r="F685" s="9" t="str">
        <f aca="false">HYPERLINK("https://vtmf.veevavault.com/ui/#doc_info/1462490/1/0", "42160443PAI2004-KOR--Approval (v1.0)")</f>
        <v>42160443PAI2004-KOR--Approval (v1.0)</v>
      </c>
      <c r="G685" s="8" t="s">
        <v>847</v>
      </c>
      <c r="H685" s="9" t="str">
        <f aca="false">HYPERLINK("https://vtmf.veevavault.com/ui/#doc_info/1462490/1/0", "EDMS-GCO-35562208")</f>
        <v>EDMS-GCO-35562208</v>
      </c>
    </row>
    <row r="686" customFormat="false" ht="14.25" hidden="false" customHeight="true" outlineLevel="0" collapsed="false">
      <c r="E686" s="8" t="s">
        <v>848</v>
      </c>
      <c r="F686" s="9" t="str">
        <f aca="false">HYPERLINK("https://vtmf.veevavault.com/ui/#doc_info/1438437/1/0", "42160443PAI2004-KOR--IRB/IEC Approval (v1.0)")</f>
        <v>42160443PAI2004-KOR--IRB/IEC Approval (v1.0)</v>
      </c>
      <c r="G686" s="8" t="s">
        <v>849</v>
      </c>
      <c r="H686" s="9" t="str">
        <f aca="false">HYPERLINK("https://vtmf.veevavault.com/ui/#doc_info/1438437/1/0", "EDMS-GCO-29825577")</f>
        <v>EDMS-GCO-29825577</v>
      </c>
    </row>
    <row r="687" customFormat="false" ht="14.25" hidden="false" customHeight="true" outlineLevel="0" collapsed="false">
      <c r="E687" s="8" t="s">
        <v>848</v>
      </c>
      <c r="F687" s="9" t="str">
        <f aca="false">HYPERLINK("https://vtmf.veevavault.com/ui/#doc_info/1438448/1/0", "42160443PAI2004-KOR--IRB/IEC Approval (v1.0)")</f>
        <v>42160443PAI2004-KOR--IRB/IEC Approval (v1.0)</v>
      </c>
      <c r="G687" s="8" t="s">
        <v>850</v>
      </c>
      <c r="H687" s="9" t="str">
        <f aca="false">HYPERLINK("https://vtmf.veevavault.com/ui/#doc_info/1438448/1/0", "EDMS-GCO-29825578")</f>
        <v>EDMS-GCO-29825578</v>
      </c>
    </row>
    <row r="688" customFormat="false" ht="14.25" hidden="false" customHeight="true" outlineLevel="0" collapsed="false">
      <c r="E688" s="8" t="s">
        <v>848</v>
      </c>
      <c r="F688" s="9" t="str">
        <f aca="false">HYPERLINK("https://vtmf.veevavault.com/ui/#doc_info/1438461/1/0", "42160443PAI2004-KOR--IRB/IEC Approval (v1.0)")</f>
        <v>42160443PAI2004-KOR--IRB/IEC Approval (v1.0)</v>
      </c>
      <c r="G688" s="8" t="s">
        <v>851</v>
      </c>
      <c r="H688" s="9" t="str">
        <f aca="false">HYPERLINK("https://vtmf.veevavault.com/ui/#doc_info/1438461/1/0", "EDMS-GCO-29825579")</f>
        <v>EDMS-GCO-29825579</v>
      </c>
    </row>
    <row r="689" customFormat="false" ht="14.25" hidden="false" customHeight="true" outlineLevel="0" collapsed="false">
      <c r="E689" s="8" t="s">
        <v>848</v>
      </c>
      <c r="F689" s="9" t="str">
        <f aca="false">HYPERLINK("https://vtmf.veevavault.com/ui/#doc_info/1438476/1/0", "42160443PAI2004-KOR--IRB/IEC Approval (v1.0)")</f>
        <v>42160443PAI2004-KOR--IRB/IEC Approval (v1.0)</v>
      </c>
      <c r="G689" s="8" t="s">
        <v>852</v>
      </c>
      <c r="H689" s="9" t="str">
        <f aca="false">HYPERLINK("https://vtmf.veevavault.com/ui/#doc_info/1438476/1/0", "EDMS-GCO-29825580")</f>
        <v>EDMS-GCO-29825580</v>
      </c>
    </row>
    <row r="690" customFormat="false" ht="14.25" hidden="false" customHeight="true" outlineLevel="0" collapsed="false">
      <c r="E690" s="8" t="s">
        <v>848</v>
      </c>
      <c r="F690" s="9" t="str">
        <f aca="false">HYPERLINK("https://vtmf.veevavault.com/ui/#doc_info/1438484/1/0", "42160443PAI2004-KOR--IRB/IEC Approval (v1.0)")</f>
        <v>42160443PAI2004-KOR--IRB/IEC Approval (v1.0)</v>
      </c>
      <c r="G690" s="8" t="s">
        <v>853</v>
      </c>
      <c r="H690" s="9" t="str">
        <f aca="false">HYPERLINK("https://vtmf.veevavault.com/ui/#doc_info/1438484/1/0", "EDMS-GCO-29825581")</f>
        <v>EDMS-GCO-29825581</v>
      </c>
    </row>
    <row r="691" customFormat="false" ht="14.25" hidden="false" customHeight="true" outlineLevel="0" collapsed="false">
      <c r="E691" s="8" t="s">
        <v>848</v>
      </c>
      <c r="F691" s="9" t="str">
        <f aca="false">HYPERLINK("https://vtmf.veevavault.com/ui/#doc_info/1438492/1/0", "42160443PAI2004-KOR--IRB/IEC Approval (v1.0)")</f>
        <v>42160443PAI2004-KOR--IRB/IEC Approval (v1.0)</v>
      </c>
      <c r="G691" s="8" t="s">
        <v>854</v>
      </c>
      <c r="H691" s="9" t="str">
        <f aca="false">HYPERLINK("https://vtmf.veevavault.com/ui/#doc_info/1438492/1/0", "EDMS-GCO-29825582")</f>
        <v>EDMS-GCO-29825582</v>
      </c>
    </row>
    <row r="692" customFormat="false" ht="14.25" hidden="false" customHeight="true" outlineLevel="0" collapsed="false">
      <c r="E692" s="8" t="s">
        <v>848</v>
      </c>
      <c r="F692" s="9" t="str">
        <f aca="false">HYPERLINK("https://vtmf.veevavault.com/ui/#doc_info/1438501/1/0", "42160443PAI2004-KOR--IRB/IEC Approval (v1.0)")</f>
        <v>42160443PAI2004-KOR--IRB/IEC Approval (v1.0)</v>
      </c>
      <c r="G692" s="8" t="s">
        <v>855</v>
      </c>
      <c r="H692" s="9" t="str">
        <f aca="false">HYPERLINK("https://vtmf.veevavault.com/ui/#doc_info/1438501/1/0", "EDMS-GCO-29825583")</f>
        <v>EDMS-GCO-29825583</v>
      </c>
    </row>
    <row r="693" customFormat="false" ht="14.25" hidden="false" customHeight="true" outlineLevel="0" collapsed="false">
      <c r="E693" s="8" t="s">
        <v>848</v>
      </c>
      <c r="F693" s="9" t="str">
        <f aca="false">HYPERLINK("https://vtmf.veevavault.com/ui/#doc_info/1438512/1/0", "42160443PAI2004-KOR--IRB/IEC Approval (v1.0)")</f>
        <v>42160443PAI2004-KOR--IRB/IEC Approval (v1.0)</v>
      </c>
      <c r="G693" s="8" t="s">
        <v>856</v>
      </c>
      <c r="H693" s="9" t="str">
        <f aca="false">HYPERLINK("https://vtmf.veevavault.com/ui/#doc_info/1438512/1/0", "EDMS-GCO-29825584")</f>
        <v>EDMS-GCO-29825584</v>
      </c>
    </row>
    <row r="694" customFormat="false" ht="14.25" hidden="false" customHeight="true" outlineLevel="0" collapsed="false">
      <c r="E694" s="8" t="s">
        <v>848</v>
      </c>
      <c r="F694" s="9" t="str">
        <f aca="false">HYPERLINK("https://vtmf.veevavault.com/ui/#doc_info/1438519/1/0", "42160443PAI2004-KOR--IRB/IEC Approval (v1.0)")</f>
        <v>42160443PAI2004-KOR--IRB/IEC Approval (v1.0)</v>
      </c>
      <c r="G694" s="8" t="s">
        <v>857</v>
      </c>
      <c r="H694" s="9" t="str">
        <f aca="false">HYPERLINK("https://vtmf.veevavault.com/ui/#doc_info/1438519/1/0", "EDMS-GCO-29825690")</f>
        <v>EDMS-GCO-29825690</v>
      </c>
    </row>
    <row r="695" customFormat="false" ht="14.25" hidden="false" customHeight="true" outlineLevel="0" collapsed="false">
      <c r="E695" s="8" t="s">
        <v>848</v>
      </c>
      <c r="F695" s="9" t="str">
        <f aca="false">HYPERLINK("https://vtmf.veevavault.com/ui/#doc_info/1439477/1/0", "42160443PAI2004-KOR--IRB/IEC Approval (v1.0)")</f>
        <v>42160443PAI2004-KOR--IRB/IEC Approval (v1.0)</v>
      </c>
      <c r="G695" s="8" t="s">
        <v>858</v>
      </c>
      <c r="H695" s="9" t="str">
        <f aca="false">HYPERLINK("https://vtmf.veevavault.com/ui/#doc_info/1439477/1/0", "EDMS-GCO-29906544")</f>
        <v>EDMS-GCO-29906544</v>
      </c>
    </row>
    <row r="696" customFormat="false" ht="14.25" hidden="false" customHeight="true" outlineLevel="0" collapsed="false">
      <c r="E696" s="8" t="s">
        <v>848</v>
      </c>
      <c r="F696" s="9" t="str">
        <f aca="false">HYPERLINK("https://vtmf.veevavault.com/ui/#doc_info/1439497/1/0", "42160443PAI2004-KOR--IRB/IEC Approval (v1.0)")</f>
        <v>42160443PAI2004-KOR--IRB/IEC Approval (v1.0)</v>
      </c>
      <c r="G696" s="8" t="s">
        <v>859</v>
      </c>
      <c r="H696" s="9" t="str">
        <f aca="false">HYPERLINK("https://vtmf.veevavault.com/ui/#doc_info/1439497/1/0", "EDMS-GCO-29906548")</f>
        <v>EDMS-GCO-29906548</v>
      </c>
    </row>
    <row r="697" customFormat="false" ht="14.25" hidden="false" customHeight="true" outlineLevel="0" collapsed="false">
      <c r="E697" s="8" t="s">
        <v>848</v>
      </c>
      <c r="F697" s="9" t="str">
        <f aca="false">HYPERLINK("https://vtmf.veevavault.com/ui/#doc_info/1439515/1/0", "42160443PAI2004-KOR--IRB/IEC Approval (v1.0)")</f>
        <v>42160443PAI2004-KOR--IRB/IEC Approval (v1.0)</v>
      </c>
      <c r="G697" s="8" t="s">
        <v>860</v>
      </c>
      <c r="H697" s="9" t="str">
        <f aca="false">HYPERLINK("https://vtmf.veevavault.com/ui/#doc_info/1439515/1/0", "EDMS-GCO-29906706")</f>
        <v>EDMS-GCO-29906706</v>
      </c>
    </row>
    <row r="698" customFormat="false" ht="14.25" hidden="false" customHeight="true" outlineLevel="0" collapsed="false">
      <c r="E698" s="8" t="s">
        <v>132</v>
      </c>
      <c r="F698" s="9" t="str">
        <f aca="false">HYPERLINK("https://vtmf.veevavault.com/ui/#doc_info/21934452/1/0", "42756493BLC1003-KOR--Approval-03 Jun 2022 (v1.0)")</f>
        <v>42756493BLC1003-KOR--Approval-03 Jun 2022 (v1.0)</v>
      </c>
      <c r="G698" s="8" t="s">
        <v>861</v>
      </c>
      <c r="H698" s="9" t="str">
        <f aca="false">HYPERLINK("https://vtmf.veevavault.com/ui/#doc_info/21934452/1/0", "VTMF-17236268")</f>
        <v>VTMF-17236268</v>
      </c>
    </row>
    <row r="699" customFormat="false" ht="14.25" hidden="false" customHeight="true" outlineLevel="0" collapsed="false">
      <c r="E699" s="8" t="s">
        <v>132</v>
      </c>
      <c r="F699" s="9" t="str">
        <f aca="false">HYPERLINK("https://vtmf.veevavault.com/ui/#doc_info/22693435/1/0", "42756493BLC1003-KOR--Approval-04 Oct 2022 (v1.0)")</f>
        <v>42756493BLC1003-KOR--Approval-04 Oct 2022 (v1.0)</v>
      </c>
      <c r="G699" s="8" t="s">
        <v>862</v>
      </c>
      <c r="H699" s="9" t="str">
        <f aca="false">HYPERLINK("https://vtmf.veevavault.com/ui/#doc_info/22693435/1/0", "VTMF-17894562")</f>
        <v>VTMF-17894562</v>
      </c>
    </row>
    <row r="700" customFormat="false" ht="14.25" hidden="false" customHeight="true" outlineLevel="0" collapsed="false">
      <c r="E700" s="8" t="s">
        <v>132</v>
      </c>
      <c r="F700" s="9" t="str">
        <f aca="false">HYPERLINK("https://vtmf.veevavault.com/ui/#doc_info/24960852/1/0", "42756493BLC1003-KOR--Approval-12 Oct 2023 (v1.0)")</f>
        <v>42756493BLC1003-KOR--Approval-12 Oct 2023 (v1.0)</v>
      </c>
      <c r="G700" s="8" t="s">
        <v>863</v>
      </c>
      <c r="H700" s="9" t="str">
        <f aca="false">HYPERLINK("https://vtmf.veevavault.com/ui/#doc_info/24960852/1/0", "VTMF-19868459")</f>
        <v>VTMF-19868459</v>
      </c>
    </row>
    <row r="701" customFormat="false" ht="14.25" hidden="false" customHeight="true" outlineLevel="0" collapsed="false">
      <c r="E701" s="8" t="s">
        <v>132</v>
      </c>
      <c r="F701" s="9" t="str">
        <f aca="false">HYPERLINK("https://vtmf.veevavault.com/ui/#doc_info/23164264/1/0", "42756493BLC1003-KOR--Approval-15 Dec 2022 (v1.0)")</f>
        <v>42756493BLC1003-KOR--Approval-15 Dec 2022 (v1.0)</v>
      </c>
      <c r="G701" s="8" t="s">
        <v>864</v>
      </c>
      <c r="H701" s="9" t="str">
        <f aca="false">HYPERLINK("https://vtmf.veevavault.com/ui/#doc_info/23164264/1/0", "VTMF-18304731")</f>
        <v>VTMF-18304731</v>
      </c>
    </row>
    <row r="702" customFormat="false" ht="14.25" hidden="false" customHeight="true" outlineLevel="0" collapsed="false">
      <c r="E702" s="8" t="s">
        <v>132</v>
      </c>
      <c r="F702" s="9" t="str">
        <f aca="false">HYPERLINK("https://vtmf.veevavault.com/ui/#doc_info/26310865/1/0", "42756493BLC1003-KOR--Approval-23 Apr 2024 (v1.0)")</f>
        <v>42756493BLC1003-KOR--Approval-23 Apr 2024 (v1.0)</v>
      </c>
      <c r="G702" s="8" t="s">
        <v>865</v>
      </c>
      <c r="H702" s="9" t="str">
        <f aca="false">HYPERLINK("https://vtmf.veevavault.com/ui/#doc_info/26310865/1/0", "VTMF-21051315")</f>
        <v>VTMF-21051315</v>
      </c>
    </row>
    <row r="703" customFormat="false" ht="14.25" hidden="false" customHeight="true" outlineLevel="0" collapsed="false">
      <c r="E703" s="8" t="s">
        <v>132</v>
      </c>
      <c r="F703" s="9" t="str">
        <f aca="false">HYPERLINK("https://vtmf.veevavault.com/ui/#doc_info/21378869/1/0", "42756493BLC1003-KOR--Approval-23 Feb 2022 (v1.0)")</f>
        <v>42756493BLC1003-KOR--Approval-23 Feb 2022 (v1.0)</v>
      </c>
      <c r="G703" s="8" t="s">
        <v>866</v>
      </c>
      <c r="H703" s="9" t="str">
        <f aca="false">HYPERLINK("https://vtmf.veevavault.com/ui/#doc_info/21378869/1/0", "VTMF-16743786")</f>
        <v>VTMF-16743786</v>
      </c>
    </row>
    <row r="704" customFormat="false" ht="14.25" hidden="false" customHeight="true" outlineLevel="0" collapsed="false">
      <c r="E704" s="8" t="s">
        <v>132</v>
      </c>
      <c r="F704" s="9" t="str">
        <f aca="false">HYPERLINK("https://vtmf.veevavault.com/ui/#doc_info/23770073/2/0", "42756493BLC1003-KOR--Approval-24 Mar 2023 (v2.0)")</f>
        <v>42756493BLC1003-KOR--Approval-24 Mar 2023 (v2.0)</v>
      </c>
      <c r="G704" s="8" t="s">
        <v>867</v>
      </c>
      <c r="H704" s="9" t="str">
        <f aca="false">HYPERLINK("https://vtmf.veevavault.com/ui/#doc_info/23770073/2/0", "VTMF-18826790")</f>
        <v>VTMF-18826790</v>
      </c>
    </row>
    <row r="705" customFormat="false" ht="14.25" hidden="false" customHeight="true" outlineLevel="0" collapsed="false">
      <c r="E705" s="8" t="s">
        <v>132</v>
      </c>
      <c r="F705" s="9" t="str">
        <f aca="false">HYPERLINK("https://vtmf.veevavault.com/ui/#doc_info/23391247/2/0", "42756493BLC1003-KOR--Approval-25 Jan 2023 (v2.0)")</f>
        <v>42756493BLC1003-KOR--Approval-25 Jan 2023 (v2.0)</v>
      </c>
      <c r="G705" s="8" t="s">
        <v>868</v>
      </c>
      <c r="H705" s="9" t="str">
        <f aca="false">HYPERLINK("https://vtmf.veevavault.com/ui/#doc_info/23391247/2/0", "VTMF-18499534")</f>
        <v>VTMF-18499534</v>
      </c>
    </row>
    <row r="706" customFormat="false" ht="14.25" hidden="false" customHeight="true" outlineLevel="0" collapsed="false">
      <c r="E706" s="8" t="s">
        <v>132</v>
      </c>
      <c r="F706" s="9" t="str">
        <f aca="false">HYPERLINK("https://vtmf.veevavault.com/ui/#doc_info/21654421/1/0", "42756493BLC1003-KOR--Approval-27 Apr 2022 (v1.0)")</f>
        <v>42756493BLC1003-KOR--Approval-27 Apr 2022 (v1.0)</v>
      </c>
      <c r="G706" s="8" t="s">
        <v>869</v>
      </c>
      <c r="H706" s="9" t="str">
        <f aca="false">HYPERLINK("https://vtmf.veevavault.com/ui/#doc_info/21654421/1/0", "VTMF-16988022")</f>
        <v>VTMF-16988022</v>
      </c>
    </row>
    <row r="707" customFormat="false" ht="14.25" hidden="false" customHeight="true" outlineLevel="0" collapsed="false">
      <c r="E707" s="8" t="s">
        <v>132</v>
      </c>
      <c r="F707" s="9" t="str">
        <f aca="false">HYPERLINK("https://vtmf.veevavault.com/ui/#doc_info/21450373/1/0", "42756493BLC1003-KOR--Approval-30 Mar 2022 (v1.0)")</f>
        <v>42756493BLC1003-KOR--Approval-30 Mar 2022 (v1.0)</v>
      </c>
      <c r="G707" s="8" t="s">
        <v>870</v>
      </c>
      <c r="H707" s="9" t="str">
        <f aca="false">HYPERLINK("https://vtmf.veevavault.com/ui/#doc_info/21450373/1/0", "VTMF-16807140")</f>
        <v>VTMF-16807140</v>
      </c>
    </row>
    <row r="708" customFormat="false" ht="14.25" hidden="false" customHeight="true" outlineLevel="0" collapsed="false">
      <c r="E708" s="8" t="s">
        <v>132</v>
      </c>
      <c r="F708" s="9" t="str">
        <f aca="false">HYPERLINK("https://vtmf.veevavault.com/ui/#doc_info/9880547/1/0", "42756493BLC2001-KOR--Approval-02 Aug 2017 (v1.0)")</f>
        <v>42756493BLC2001-KOR--Approval-02 Aug 2017 (v1.0)</v>
      </c>
      <c r="G708" s="8" t="s">
        <v>871</v>
      </c>
      <c r="H708" s="9" t="str">
        <f aca="false">HYPERLINK("https://vtmf.veevavault.com/ui/#doc_info/9880547/1/0", "VTMF-5935250")</f>
        <v>VTMF-5935250</v>
      </c>
    </row>
    <row r="709" customFormat="false" ht="14.25" hidden="false" customHeight="true" outlineLevel="0" collapsed="false">
      <c r="E709" s="8" t="s">
        <v>132</v>
      </c>
      <c r="F709" s="9" t="str">
        <f aca="false">HYPERLINK("https://vtmf.veevavault.com/ui/#doc_info/18409241/1/0", "42756493BLC2001-KOR--Approval-02 Mar 2021 (v1.0)")</f>
        <v>42756493BLC2001-KOR--Approval-02 Mar 2021 (v1.0)</v>
      </c>
      <c r="G709" s="8" t="s">
        <v>872</v>
      </c>
      <c r="H709" s="9" t="str">
        <f aca="false">HYPERLINK("https://vtmf.veevavault.com/ui/#doc_info/18409241/1/0", "VTMF-14060228")</f>
        <v>VTMF-14060228</v>
      </c>
    </row>
    <row r="710" customFormat="false" ht="14.25" hidden="false" customHeight="true" outlineLevel="0" collapsed="false">
      <c r="E710" s="8" t="s">
        <v>132</v>
      </c>
      <c r="F710" s="9" t="str">
        <f aca="false">HYPERLINK("https://vtmf.veevavault.com/ui/#doc_info/5834461/1/0", "42756493BLC2001-KOR--Approval-03 Feb 2016 (v1.0)")</f>
        <v>42756493BLC2001-KOR--Approval-03 Feb 2016 (v1.0)</v>
      </c>
      <c r="G710" s="8" t="s">
        <v>873</v>
      </c>
      <c r="H710" s="9" t="str">
        <f aca="false">HYPERLINK("https://vtmf.veevavault.com/ui/#doc_info/5834461/1/0", "VTMF-2063415")</f>
        <v>VTMF-2063415</v>
      </c>
    </row>
    <row r="711" customFormat="false" ht="14.25" hidden="false" customHeight="true" outlineLevel="0" collapsed="false">
      <c r="E711" s="8" t="s">
        <v>132</v>
      </c>
      <c r="F711" s="9" t="str">
        <f aca="false">HYPERLINK("https://vtmf.veevavault.com/ui/#doc_info/5834462/1/0", "42756493BLC2001-KOR--Approval-03 Feb 2016 (v1.0)")</f>
        <v>42756493BLC2001-KOR--Approval-03 Feb 2016 (v1.0)</v>
      </c>
      <c r="G711" s="8" t="s">
        <v>874</v>
      </c>
      <c r="H711" s="9" t="str">
        <f aca="false">HYPERLINK("https://vtmf.veevavault.com/ui/#doc_info/5834462/1/0", "VTMF-2063416")</f>
        <v>VTMF-2063416</v>
      </c>
    </row>
    <row r="712" customFormat="false" ht="14.25" hidden="false" customHeight="true" outlineLevel="0" collapsed="false">
      <c r="E712" s="8" t="s">
        <v>132</v>
      </c>
      <c r="F712" s="9" t="str">
        <f aca="false">HYPERLINK("https://vtmf.veevavault.com/ui/#doc_info/5834523/1/0", "42756493BLC2001-KOR--Approval-03 Feb 2016 (v1.0)")</f>
        <v>42756493BLC2001-KOR--Approval-03 Feb 2016 (v1.0)</v>
      </c>
      <c r="G712" s="8" t="s">
        <v>875</v>
      </c>
      <c r="H712" s="9" t="str">
        <f aca="false">HYPERLINK("https://vtmf.veevavault.com/ui/#doc_info/5834523/1/0", "VTMF-2063482")</f>
        <v>VTMF-2063482</v>
      </c>
    </row>
    <row r="713" customFormat="false" ht="14.25" hidden="false" customHeight="true" outlineLevel="0" collapsed="false">
      <c r="E713" s="8" t="s">
        <v>132</v>
      </c>
      <c r="F713" s="9" t="str">
        <f aca="false">HYPERLINK("https://vtmf.veevavault.com/ui/#doc_info/11400751/1/0", "42756493BLC2001-KOR--Approval-14 Aug 2019 (v1.0)")</f>
        <v>42756493BLC2001-KOR--Approval-14 Aug 2019 (v1.0)</v>
      </c>
      <c r="G713" s="8" t="s">
        <v>876</v>
      </c>
      <c r="H713" s="9" t="str">
        <f aca="false">HYPERLINK("https://vtmf.veevavault.com/ui/#doc_info/11400751/1/0", "VTMF-7340587")</f>
        <v>VTMF-7340587</v>
      </c>
    </row>
    <row r="714" customFormat="false" ht="14.25" hidden="false" customHeight="true" outlineLevel="0" collapsed="false">
      <c r="E714" s="8" t="s">
        <v>132</v>
      </c>
      <c r="F714" s="9" t="str">
        <f aca="false">HYPERLINK("https://vtmf.veevavault.com/ui/#doc_info/14975893/1/0", "42756493BLC2001-KOR--Approval-16 Oct 2020 (v1.0)")</f>
        <v>42756493BLC2001-KOR--Approval-16 Oct 2020 (v1.0)</v>
      </c>
      <c r="G714" s="8" t="s">
        <v>877</v>
      </c>
      <c r="H714" s="9" t="str">
        <f aca="false">HYPERLINK("https://vtmf.veevavault.com/ui/#doc_info/14975893/1/0", "VTMF-10713775")</f>
        <v>VTMF-10713775</v>
      </c>
    </row>
    <row r="715" customFormat="false" ht="14.25" hidden="false" customHeight="true" outlineLevel="0" collapsed="false">
      <c r="E715" s="8" t="s">
        <v>132</v>
      </c>
      <c r="F715" s="9" t="str">
        <f aca="false">HYPERLINK("https://vtmf.veevavault.com/ui/#doc_info/8570910/1/0", "42756493BLC2001-KOR--Approval-26 Jul 2017 (v1.0)")</f>
        <v>42756493BLC2001-KOR--Approval-26 Jul 2017 (v1.0)</v>
      </c>
      <c r="G715" s="8" t="s">
        <v>878</v>
      </c>
      <c r="H715" s="9" t="str">
        <f aca="false">HYPERLINK("https://vtmf.veevavault.com/ui/#doc_info/8570910/1/0", "VTMF-4700017")</f>
        <v>VTMF-4700017</v>
      </c>
    </row>
    <row r="716" customFormat="false" ht="14.25" hidden="false" customHeight="true" outlineLevel="0" collapsed="false">
      <c r="E716" s="8" t="s">
        <v>132</v>
      </c>
      <c r="F716" s="9" t="str">
        <f aca="false">HYPERLINK("https://vtmf.veevavault.com/ui/#doc_info/22888283/1/0", "42756493BLC2002-KOR--Approval-01 Nov 2022 (v1.0)")</f>
        <v>42756493BLC2002-KOR--Approval-01 Nov 2022 (v1.0)</v>
      </c>
      <c r="G716" s="8" t="s">
        <v>879</v>
      </c>
      <c r="H716" s="9" t="str">
        <f aca="false">HYPERLINK("https://vtmf.veevavault.com/ui/#doc_info/22888283/1/0", "VTMF-18064863")</f>
        <v>VTMF-18064863</v>
      </c>
    </row>
    <row r="717" customFormat="false" ht="14.25" hidden="false" customHeight="true" outlineLevel="0" collapsed="false">
      <c r="E717" s="8" t="s">
        <v>132</v>
      </c>
      <c r="F717" s="9" t="str">
        <f aca="false">HYPERLINK("https://vtmf.veevavault.com/ui/#doc_info/11476480/1/0", "42756493BLC2002-KOR--Approval-02 Sep 2019 (v1.0)")</f>
        <v>42756493BLC2002-KOR--Approval-02 Sep 2019 (v1.0)</v>
      </c>
      <c r="G717" s="8" t="s">
        <v>880</v>
      </c>
      <c r="H717" s="9" t="str">
        <f aca="false">HYPERLINK("https://vtmf.veevavault.com/ui/#doc_info/11476480/1/0", "VTMF-7409223")</f>
        <v>VTMF-7409223</v>
      </c>
    </row>
    <row r="718" customFormat="false" ht="14.25" hidden="false" customHeight="true" outlineLevel="0" collapsed="false">
      <c r="E718" s="8" t="s">
        <v>132</v>
      </c>
      <c r="F718" s="9" t="str">
        <f aca="false">HYPERLINK("https://vtmf.veevavault.com/ui/#doc_info/22728844/1/0", "42756493BLC2002-KOR--Approval-04 Oct 2022 (v1.0)")</f>
        <v>42756493BLC2002-KOR--Approval-04 Oct 2022 (v1.0)</v>
      </c>
      <c r="G718" s="8" t="s">
        <v>881</v>
      </c>
      <c r="H718" s="9" t="str">
        <f aca="false">HYPERLINK("https://vtmf.veevavault.com/ui/#doc_info/22728844/1/0", "VTMF-17925941")</f>
        <v>VTMF-17925941</v>
      </c>
    </row>
    <row r="719" customFormat="false" ht="14.25" hidden="false" customHeight="true" outlineLevel="0" collapsed="false">
      <c r="E719" s="8" t="s">
        <v>132</v>
      </c>
      <c r="F719" s="9" t="str">
        <f aca="false">HYPERLINK("https://vtmf.veevavault.com/ui/#doc_info/25667373/1/0", "42756493BLC2002-KOR--Approval-06 Feb 2024 (v1.0)")</f>
        <v>42756493BLC2002-KOR--Approval-06 Feb 2024 (v1.0)</v>
      </c>
      <c r="G719" s="8" t="s">
        <v>882</v>
      </c>
      <c r="H719" s="9" t="str">
        <f aca="false">HYPERLINK("https://vtmf.veevavault.com/ui/#doc_info/25667373/1/0", "VTMF-20486708")</f>
        <v>VTMF-20486708</v>
      </c>
    </row>
    <row r="720" customFormat="false" ht="14.25" hidden="false" customHeight="true" outlineLevel="0" collapsed="false">
      <c r="E720" s="8" t="s">
        <v>132</v>
      </c>
      <c r="F720" s="9" t="str">
        <f aca="false">HYPERLINK("https://vtmf.veevavault.com/ui/#doc_info/15091278/1/0", "42756493BLC2002-KOR--Approval-13 Oct 2020 (v1.0)")</f>
        <v>42756493BLC2002-KOR--Approval-13 Oct 2020 (v1.0)</v>
      </c>
      <c r="G720" s="8" t="s">
        <v>883</v>
      </c>
      <c r="H720" s="9" t="str">
        <f aca="false">HYPERLINK("https://vtmf.veevavault.com/ui/#doc_info/15091278/1/0", "VTMF-10818925")</f>
        <v>VTMF-10818925</v>
      </c>
    </row>
    <row r="721" customFormat="false" ht="14.25" hidden="false" customHeight="true" outlineLevel="0" collapsed="false">
      <c r="E721" s="8" t="s">
        <v>132</v>
      </c>
      <c r="F721" s="9" t="str">
        <f aca="false">HYPERLINK("https://vtmf.veevavault.com/ui/#doc_info/21344717/1/0", "42756493BLC2002-KOR--Approval-14 Feb 2022 (v1.0)")</f>
        <v>42756493BLC2002-KOR--Approval-14 Feb 2022 (v1.0)</v>
      </c>
      <c r="G721" s="8" t="s">
        <v>884</v>
      </c>
      <c r="H721" s="9" t="str">
        <f aca="false">HYPERLINK("https://vtmf.veevavault.com/ui/#doc_info/21344717/1/0", "VTMF-16713491")</f>
        <v>VTMF-16713491</v>
      </c>
    </row>
    <row r="722" customFormat="false" ht="14.25" hidden="false" customHeight="true" outlineLevel="0" collapsed="false">
      <c r="E722" s="8" t="s">
        <v>132</v>
      </c>
      <c r="F722" s="9" t="str">
        <f aca="false">HYPERLINK("https://vtmf.veevavault.com/ui/#doc_info/23226921/1/0", "42756493BLC2002-KOR--Approval-15 Dec 2022 (v1.0)")</f>
        <v>42756493BLC2002-KOR--Approval-15 Dec 2022 (v1.0)</v>
      </c>
      <c r="G722" s="8" t="s">
        <v>885</v>
      </c>
      <c r="H722" s="9" t="str">
        <f aca="false">HYPERLINK("https://vtmf.veevavault.com/ui/#doc_info/23226921/1/0", "VTMF-18357705")</f>
        <v>VTMF-18357705</v>
      </c>
    </row>
    <row r="723" customFormat="false" ht="14.25" hidden="false" customHeight="true" outlineLevel="0" collapsed="false">
      <c r="E723" s="8" t="s">
        <v>132</v>
      </c>
      <c r="F723" s="9" t="str">
        <f aca="false">HYPERLINK("https://vtmf.veevavault.com/ui/#doc_info/11543019/1/0", "42756493BLC2002-KOR--Approval-20 Sep 2019 (v1.0)")</f>
        <v>42756493BLC2002-KOR--Approval-20 Sep 2019 (v1.0)</v>
      </c>
      <c r="G723" s="8" t="s">
        <v>886</v>
      </c>
      <c r="H723" s="9" t="str">
        <f aca="false">HYPERLINK("https://vtmf.veevavault.com/ui/#doc_info/11543019/1/0", "VTMF-7469792")</f>
        <v>VTMF-7469792</v>
      </c>
    </row>
    <row r="724" customFormat="false" ht="14.25" hidden="false" customHeight="true" outlineLevel="0" collapsed="false">
      <c r="E724" s="8" t="s">
        <v>132</v>
      </c>
      <c r="F724" s="9" t="str">
        <f aca="false">HYPERLINK("https://vtmf.veevavault.com/ui/#doc_info/10651668/1/0", "42756493BLC2002-KOR--Approval-26 Feb 2019 (v1.0)")</f>
        <v>42756493BLC2002-KOR--Approval-26 Feb 2019 (v1.0)</v>
      </c>
      <c r="G724" s="8" t="s">
        <v>887</v>
      </c>
      <c r="H724" s="9" t="str">
        <f aca="false">HYPERLINK("https://vtmf.veevavault.com/ui/#doc_info/10651668/1/0", "VTMF-6646618")</f>
        <v>VTMF-6646618</v>
      </c>
    </row>
    <row r="725" customFormat="false" ht="14.25" hidden="false" customHeight="true" outlineLevel="0" collapsed="false">
      <c r="E725" s="8" t="s">
        <v>132</v>
      </c>
      <c r="F725" s="9" t="str">
        <f aca="false">HYPERLINK("https://vtmf.veevavault.com/ui/#doc_info/19732133/1/0", "42756493BLC2002-KOR--Approval-29 Jun 2021 (v1.0)")</f>
        <v>42756493BLC2002-KOR--Approval-29 Jun 2021 (v1.0)</v>
      </c>
      <c r="G725" s="8" t="s">
        <v>888</v>
      </c>
      <c r="H725" s="9" t="str">
        <f aca="false">HYPERLINK("https://vtmf.veevavault.com/ui/#doc_info/19732133/1/0", "VTMF-15287136")</f>
        <v>VTMF-15287136</v>
      </c>
    </row>
    <row r="726" customFormat="false" ht="14.25" hidden="false" customHeight="true" outlineLevel="0" collapsed="false">
      <c r="E726" s="8" t="s">
        <v>132</v>
      </c>
      <c r="F726" s="9" t="str">
        <f aca="false">HYPERLINK("https://vtmf.veevavault.com/ui/#doc_info/16117165/1/0", "42756493BLC2002-KOR--Approval-30 Dec 2020 (v1.0)")</f>
        <v>42756493BLC2002-KOR--Approval-30 Dec 2020 (v1.0)</v>
      </c>
      <c r="G726" s="8" t="s">
        <v>889</v>
      </c>
      <c r="H726" s="9" t="str">
        <f aca="false">HYPERLINK("https://vtmf.veevavault.com/ui/#doc_info/16117165/1/0", "VTMF-11796032")</f>
        <v>VTMF-11796032</v>
      </c>
    </row>
    <row r="727" customFormat="false" ht="14.25" hidden="false" customHeight="true" outlineLevel="0" collapsed="false">
      <c r="E727" s="8" t="s">
        <v>132</v>
      </c>
      <c r="F727" s="9" t="str">
        <f aca="false">HYPERLINK("https://vtmf.veevavault.com/ui/#doc_info/11139670/0/1", "42756493BLC2003-KOR--Approval- (v0.1)")</f>
        <v>42756493BLC2003-KOR--Approval- (v0.1)</v>
      </c>
      <c r="G727" s="8"/>
      <c r="H727" s="9" t="str">
        <f aca="false">HYPERLINK("https://vtmf.veevavault.com/ui/#doc_info/11139670/0/1", "VTMF-7100057")</f>
        <v>VTMF-7100057</v>
      </c>
    </row>
    <row r="728" customFormat="false" ht="14.25" hidden="false" customHeight="true" outlineLevel="0" collapsed="false">
      <c r="E728" s="8" t="s">
        <v>132</v>
      </c>
      <c r="F728" s="9" t="str">
        <f aca="false">HYPERLINK("https://vtmf.veevavault.com/ui/#doc_info/12141862/1/0", "42756493BLC2003-KOR--Approval-03 Feb 2020 (v1.0)")</f>
        <v>42756493BLC2003-KOR--Approval-03 Feb 2020 (v1.0)</v>
      </c>
      <c r="G728" s="8" t="s">
        <v>890</v>
      </c>
      <c r="H728" s="9" t="str">
        <f aca="false">HYPERLINK("https://vtmf.veevavault.com/ui/#doc_info/12141862/1/0", "VTMF-8017937")</f>
        <v>VTMF-8017937</v>
      </c>
    </row>
    <row r="729" customFormat="false" ht="14.25" hidden="false" customHeight="true" outlineLevel="0" collapsed="false">
      <c r="E729" s="8" t="s">
        <v>132</v>
      </c>
      <c r="F729" s="9" t="str">
        <f aca="false">HYPERLINK("https://vtmf.veevavault.com/ui/#doc_info/15492040/1/0", "42756493BLC2003-KOR--Approval-08 Jan 2021 (v1.0)")</f>
        <v>42756493BLC2003-KOR--Approval-08 Jan 2021 (v1.0)</v>
      </c>
      <c r="G729" s="8" t="s">
        <v>891</v>
      </c>
      <c r="H729" s="9" t="str">
        <f aca="false">HYPERLINK("https://vtmf.veevavault.com/ui/#doc_info/15492040/1/0", "VTMF-11179743")</f>
        <v>VTMF-11179743</v>
      </c>
    </row>
    <row r="730" customFormat="false" ht="14.25" hidden="false" customHeight="true" outlineLevel="0" collapsed="false">
      <c r="E730" s="8" t="s">
        <v>132</v>
      </c>
      <c r="F730" s="9" t="str">
        <f aca="false">HYPERLINK("https://vtmf.veevavault.com/ui/#doc_info/20863207/1/0", "42756493BLC2003-KOR--Approval-10 Dec 2021 (v1.0)")</f>
        <v>42756493BLC2003-KOR--Approval-10 Dec 2021 (v1.0)</v>
      </c>
      <c r="G730" s="8" t="s">
        <v>892</v>
      </c>
      <c r="H730" s="9" t="str">
        <f aca="false">HYPERLINK("https://vtmf.veevavault.com/ui/#doc_info/20863207/1/0", "VTMF-16287917")</f>
        <v>VTMF-16287917</v>
      </c>
    </row>
    <row r="731" customFormat="false" ht="14.25" hidden="false" customHeight="true" outlineLevel="0" collapsed="false">
      <c r="E731" s="8" t="s">
        <v>132</v>
      </c>
      <c r="F731" s="9" t="str">
        <f aca="false">HYPERLINK("https://vtmf.veevavault.com/ui/#doc_info/25051238/1/0", "42756493BLC2003-KOR--Approval-17 Oct 2023 (v1.0)")</f>
        <v>42756493BLC2003-KOR--Approval-17 Oct 2023 (v1.0)</v>
      </c>
      <c r="G731" s="8" t="s">
        <v>893</v>
      </c>
      <c r="H731" s="9" t="str">
        <f aca="false">HYPERLINK("https://vtmf.veevavault.com/ui/#doc_info/25051238/1/0", "VTMF-19948650")</f>
        <v>VTMF-19948650</v>
      </c>
    </row>
    <row r="732" customFormat="false" ht="14.25" hidden="false" customHeight="true" outlineLevel="0" collapsed="false">
      <c r="E732" s="8" t="s">
        <v>132</v>
      </c>
      <c r="F732" s="9" t="str">
        <f aca="false">HYPERLINK("https://vtmf.veevavault.com/ui/#doc_info/13232323/1/0", "42756493BLC2003-KOR--Approval-24 Jun 2020 (v1.0)")</f>
        <v>42756493BLC2003-KOR--Approval-24 Jun 2020 (v1.0)</v>
      </c>
      <c r="G732" s="8" t="s">
        <v>894</v>
      </c>
      <c r="H732" s="9" t="str">
        <f aca="false">HYPERLINK("https://vtmf.veevavault.com/ui/#doc_info/13232323/1/0", "VTMF-9032445")</f>
        <v>VTMF-9032445</v>
      </c>
    </row>
    <row r="733" customFormat="false" ht="14.25" hidden="false" customHeight="true" outlineLevel="0" collapsed="false">
      <c r="E733" s="8" t="s">
        <v>132</v>
      </c>
      <c r="F733" s="9" t="str">
        <f aca="false">HYPERLINK("https://vtmf.veevavault.com/ui/#doc_info/19105934/1/0", "42756493BLC2003-KOR--Approval-24 Mar 2021 (v1.0)")</f>
        <v>42756493BLC2003-KOR--Approval-24 Mar 2021 (v1.0)</v>
      </c>
      <c r="G733" s="8" t="s">
        <v>895</v>
      </c>
      <c r="H733" s="9" t="str">
        <f aca="false">HYPERLINK("https://vtmf.veevavault.com/ui/#doc_info/19105934/1/0", "VTMF-14735742")</f>
        <v>VTMF-14735742</v>
      </c>
    </row>
    <row r="734" customFormat="false" ht="14.25" hidden="false" customHeight="true" outlineLevel="0" collapsed="false">
      <c r="E734" s="8" t="s">
        <v>132</v>
      </c>
      <c r="F734" s="9" t="str">
        <f aca="false">HYPERLINK("https://vtmf.veevavault.com/ui/#doc_info/11865254/1/0", "42756493BLC3001-KOR--Approval-05 Dec 2019 (v1.0)")</f>
        <v>42756493BLC3001-KOR--Approval-05 Dec 2019 (v1.0)</v>
      </c>
      <c r="G734" s="8" t="s">
        <v>896</v>
      </c>
      <c r="H734" s="9" t="str">
        <f aca="false">HYPERLINK("https://vtmf.veevavault.com/ui/#doc_info/11865254/1/0", "VTMF-7765075")</f>
        <v>VTMF-7765075</v>
      </c>
    </row>
    <row r="735" customFormat="false" ht="14.25" hidden="false" customHeight="true" outlineLevel="0" collapsed="false">
      <c r="E735" s="8" t="s">
        <v>132</v>
      </c>
      <c r="F735" s="9" t="str">
        <f aca="false">HYPERLINK("https://vtmf.veevavault.com/ui/#doc_info/11865255/1/0", "42756493BLC3001-KOR--Approval-05 Dec 2019 (v1.0)")</f>
        <v>42756493BLC3001-KOR--Approval-05 Dec 2019 (v1.0)</v>
      </c>
      <c r="G735" s="8" t="s">
        <v>897</v>
      </c>
      <c r="H735" s="9" t="str">
        <f aca="false">HYPERLINK("https://vtmf.veevavault.com/ui/#doc_info/11865255/1/0", "VTMF-7765076")</f>
        <v>VTMF-7765076</v>
      </c>
    </row>
    <row r="736" customFormat="false" ht="14.25" hidden="false" customHeight="true" outlineLevel="0" collapsed="false">
      <c r="E736" s="8" t="s">
        <v>132</v>
      </c>
      <c r="F736" s="9" t="str">
        <f aca="false">HYPERLINK("https://vtmf.veevavault.com/ui/#doc_info/23861096/1/0", "42756493BLC3001-KOR--Approval-12 Apr 2023 (v1.0)")</f>
        <v>42756493BLC3001-KOR--Approval-12 Apr 2023 (v1.0)</v>
      </c>
      <c r="G736" s="8" t="s">
        <v>898</v>
      </c>
      <c r="H736" s="9" t="str">
        <f aca="false">HYPERLINK("https://vtmf.veevavault.com/ui/#doc_info/23861096/1/0", "VTMF-18906464")</f>
        <v>VTMF-18906464</v>
      </c>
    </row>
    <row r="737" customFormat="false" ht="14.25" hidden="false" customHeight="true" outlineLevel="0" collapsed="false">
      <c r="E737" s="8" t="s">
        <v>132</v>
      </c>
      <c r="F737" s="9" t="str">
        <f aca="false">HYPERLINK("https://vtmf.veevavault.com/ui/#doc_info/20157376/1/0", "42756493BLC3001-KOR--Approval-14 Sep 2021 (v1.0)")</f>
        <v>42756493BLC3001-KOR--Approval-14 Sep 2021 (v1.0)</v>
      </c>
      <c r="G737" s="8" t="s">
        <v>899</v>
      </c>
      <c r="H737" s="9" t="str">
        <f aca="false">HYPERLINK("https://vtmf.veevavault.com/ui/#doc_info/20157376/1/0", "VTMF-15663456")</f>
        <v>VTMF-15663456</v>
      </c>
    </row>
    <row r="738" customFormat="false" ht="14.25" hidden="false" customHeight="true" outlineLevel="0" collapsed="false">
      <c r="E738" s="8" t="s">
        <v>132</v>
      </c>
      <c r="F738" s="9" t="str">
        <f aca="false">HYPERLINK("https://vtmf.veevavault.com/ui/#doc_info/19850156/1/0", "42756493BLC3001-KOR--Approval-20 Jul 2021 (v1.0)")</f>
        <v>42756493BLC3001-KOR--Approval-20 Jul 2021 (v1.0)</v>
      </c>
      <c r="G738" s="8" t="s">
        <v>900</v>
      </c>
      <c r="H738" s="9" t="str">
        <f aca="false">HYPERLINK("https://vtmf.veevavault.com/ui/#doc_info/19850156/1/0", "VTMF-15391260")</f>
        <v>VTMF-15391260</v>
      </c>
    </row>
    <row r="739" customFormat="false" ht="14.25" hidden="false" customHeight="true" outlineLevel="0" collapsed="false">
      <c r="E739" s="8" t="s">
        <v>132</v>
      </c>
      <c r="F739" s="9" t="str">
        <f aca="false">HYPERLINK("https://vtmf.veevavault.com/ui/#doc_info/14757009/1/0", "42756493BLC3001-KOR--Approval-20 Sep 2019 (v1.0)")</f>
        <v>42756493BLC3001-KOR--Approval-20 Sep 2019 (v1.0)</v>
      </c>
      <c r="G739" s="8" t="s">
        <v>901</v>
      </c>
      <c r="H739" s="9" t="str">
        <f aca="false">HYPERLINK("https://vtmf.veevavault.com/ui/#doc_info/14757009/1/0", "VTMF-10515609")</f>
        <v>VTMF-10515609</v>
      </c>
    </row>
    <row r="740" customFormat="false" ht="14.25" hidden="false" customHeight="true" outlineLevel="0" collapsed="false">
      <c r="E740" s="8" t="s">
        <v>132</v>
      </c>
      <c r="F740" s="9" t="str">
        <f aca="false">HYPERLINK("https://vtmf.veevavault.com/ui/#doc_info/11140421/1/0", "42756493BLC3001-KOR--Approval-25 Apr 2019 (v1.0)")</f>
        <v>42756493BLC3001-KOR--Approval-25 Apr 2019 (v1.0)</v>
      </c>
      <c r="G740" s="8" t="s">
        <v>902</v>
      </c>
      <c r="H740" s="9" t="str">
        <f aca="false">HYPERLINK("https://vtmf.veevavault.com/ui/#doc_info/11140421/1/0", "VTMF-7100736")</f>
        <v>VTMF-7100736</v>
      </c>
    </row>
    <row r="741" customFormat="false" ht="14.25" hidden="false" customHeight="true" outlineLevel="0" collapsed="false">
      <c r="E741" s="8" t="s">
        <v>132</v>
      </c>
      <c r="F741" s="9" t="str">
        <f aca="false">HYPERLINK("https://vtmf.veevavault.com/ui/#doc_info/11937882/1/0", "42756493BLC3001-KOR--Approval-26 Nov 2019 (v1.0)")</f>
        <v>42756493BLC3001-KOR--Approval-26 Nov 2019 (v1.0)</v>
      </c>
      <c r="G741" s="8" t="s">
        <v>903</v>
      </c>
      <c r="H741" s="9" t="str">
        <f aca="false">HYPERLINK("https://vtmf.veevavault.com/ui/#doc_info/11937882/1/0", "VTMF-7831303")</f>
        <v>VTMF-7831303</v>
      </c>
    </row>
    <row r="742" customFormat="false" ht="14.25" hidden="false" customHeight="true" outlineLevel="0" collapsed="false">
      <c r="E742" s="8" t="s">
        <v>132</v>
      </c>
      <c r="F742" s="9" t="str">
        <f aca="false">HYPERLINK("https://vtmf.veevavault.com/ui/#doc_info/13409093/1/0", "42756493BLC3001-KOR--Approval-29 Jun 2020 (v1.0)")</f>
        <v>42756493BLC3001-KOR--Approval-29 Jun 2020 (v1.0)</v>
      </c>
      <c r="G742" s="8" t="s">
        <v>904</v>
      </c>
      <c r="H742" s="9" t="str">
        <f aca="false">HYPERLINK("https://vtmf.veevavault.com/ui/#doc_info/13409093/1/0", "VTMF-9188096")</f>
        <v>VTMF-9188096</v>
      </c>
    </row>
    <row r="743" customFormat="false" ht="14.25" hidden="false" customHeight="true" outlineLevel="0" collapsed="false">
      <c r="E743" s="8" t="s">
        <v>132</v>
      </c>
      <c r="F743" s="9" t="str">
        <f aca="false">HYPERLINK("https://vtmf.veevavault.com/ui/#doc_info/11982378/0/1", "42756493BLC3002-KOR--Approval- (v0.1)")</f>
        <v>42756493BLC3002-KOR--Approval- (v0.1)</v>
      </c>
      <c r="G743" s="8"/>
      <c r="H743" s="9" t="str">
        <f aca="false">HYPERLINK("https://vtmf.veevavault.com/ui/#doc_info/11982378/0/1", "VTMF-7872734")</f>
        <v>VTMF-7872734</v>
      </c>
    </row>
    <row r="744" customFormat="false" ht="14.25" hidden="false" customHeight="true" outlineLevel="0" collapsed="false">
      <c r="E744" s="8" t="s">
        <v>132</v>
      </c>
      <c r="F744" s="9" t="str">
        <f aca="false">HYPERLINK("https://vtmf.veevavault.com/ui/#doc_info/26310866/1/0", "42756493BLC3004-KOR--Approval-12 Apr 2024 (v1.0)")</f>
        <v>42756493BLC3004-KOR--Approval-12 Apr 2024 (v1.0)</v>
      </c>
      <c r="G744" s="8" t="s">
        <v>905</v>
      </c>
      <c r="H744" s="9" t="str">
        <f aca="false">HYPERLINK("https://vtmf.veevavault.com/ui/#doc_info/26310866/1/0", "VTMF-21051316")</f>
        <v>VTMF-21051316</v>
      </c>
    </row>
    <row r="745" customFormat="false" ht="14.25" hidden="false" customHeight="true" outlineLevel="0" collapsed="false">
      <c r="E745" s="8" t="s">
        <v>132</v>
      </c>
      <c r="F745" s="9" t="str">
        <f aca="false">HYPERLINK("https://vtmf.veevavault.com/ui/#doc_info/11027818/0/1", "42756493CAN2002-KOR--Approval- (v0.1)")</f>
        <v>42756493CAN2002-KOR--Approval- (v0.1)</v>
      </c>
      <c r="G745" s="8"/>
      <c r="H745" s="9" t="str">
        <f aca="false">HYPERLINK("https://vtmf.veevavault.com/ui/#doc_info/11027818/0/1", "VTMF-6996287")</f>
        <v>VTMF-6996287</v>
      </c>
    </row>
    <row r="746" customFormat="false" ht="14.25" hidden="false" customHeight="true" outlineLevel="0" collapsed="false">
      <c r="E746" s="8" t="s">
        <v>132</v>
      </c>
      <c r="F746" s="9" t="str">
        <f aca="false">HYPERLINK("https://vtmf.veevavault.com/ui/#doc_info/20739441/1/0", "42756493CAN2002-KOR--Approval-03 Dec 2021 (v1.0)")</f>
        <v>42756493CAN2002-KOR--Approval-03 Dec 2021 (v1.0)</v>
      </c>
      <c r="G746" s="8" t="s">
        <v>906</v>
      </c>
      <c r="H746" s="9" t="str">
        <f aca="false">HYPERLINK("https://vtmf.veevavault.com/ui/#doc_info/20739441/1/0", "VTMF-16178664")</f>
        <v>VTMF-16178664</v>
      </c>
    </row>
    <row r="747" customFormat="false" ht="14.25" hidden="false" customHeight="true" outlineLevel="0" collapsed="false">
      <c r="E747" s="8" t="s">
        <v>132</v>
      </c>
      <c r="F747" s="9" t="str">
        <f aca="false">HYPERLINK("https://vtmf.veevavault.com/ui/#doc_info/11753100/1/0", "42756493CAN2002-KOR--Approval-04 Nov 2019 (v1.0)")</f>
        <v>42756493CAN2002-KOR--Approval-04 Nov 2019 (v1.0)</v>
      </c>
      <c r="G747" s="8" t="s">
        <v>907</v>
      </c>
      <c r="H747" s="9" t="str">
        <f aca="false">HYPERLINK("https://vtmf.veevavault.com/ui/#doc_info/11753100/1/0", "VTMF-7661213")</f>
        <v>VTMF-7661213</v>
      </c>
    </row>
    <row r="748" customFormat="false" ht="14.25" hidden="false" customHeight="true" outlineLevel="0" collapsed="false">
      <c r="E748" s="8" t="s">
        <v>132</v>
      </c>
      <c r="F748" s="9" t="str">
        <f aca="false">HYPERLINK("https://vtmf.veevavault.com/ui/#doc_info/15243871/1/0", "42756493CAN2002-KOR--Approval-13 Nov 2020 (v1.0)")</f>
        <v>42756493CAN2002-KOR--Approval-13 Nov 2020 (v1.0)</v>
      </c>
      <c r="G748" s="8" t="s">
        <v>908</v>
      </c>
      <c r="H748" s="9" t="str">
        <f aca="false">HYPERLINK("https://vtmf.veevavault.com/ui/#doc_info/15243871/1/0", "VTMF-10953945")</f>
        <v>VTMF-10953945</v>
      </c>
    </row>
    <row r="749" customFormat="false" ht="14.25" hidden="false" customHeight="true" outlineLevel="0" collapsed="false">
      <c r="E749" s="8" t="s">
        <v>132</v>
      </c>
      <c r="F749" s="9" t="str">
        <f aca="false">HYPERLINK("https://vtmf.veevavault.com/ui/#doc_info/20226037/1/0", "42756493CAN2002-KOR--Approval-14 Sep 2021 (v1.0)")</f>
        <v>42756493CAN2002-KOR--Approval-14 Sep 2021 (v1.0)</v>
      </c>
      <c r="G749" s="8" t="s">
        <v>909</v>
      </c>
      <c r="H749" s="9" t="str">
        <f aca="false">HYPERLINK("https://vtmf.veevavault.com/ui/#doc_info/20226037/1/0", "VTMF-15724113")</f>
        <v>VTMF-15724113</v>
      </c>
    </row>
    <row r="750" customFormat="false" ht="14.25" hidden="false" customHeight="true" outlineLevel="0" collapsed="false">
      <c r="E750" s="8" t="s">
        <v>132</v>
      </c>
      <c r="F750" s="9" t="str">
        <f aca="false">HYPERLINK("https://vtmf.veevavault.com/ui/#doc_info/11933081/1/0", "42756493CAN2002-KOR--Approval-26 Nov 2019 (v1.0)")</f>
        <v>42756493CAN2002-KOR--Approval-26 Nov 2019 (v1.0)</v>
      </c>
      <c r="G750" s="8" t="s">
        <v>910</v>
      </c>
      <c r="H750" s="9" t="str">
        <f aca="false">HYPERLINK("https://vtmf.veevavault.com/ui/#doc_info/11933081/1/0", "VTMF-7827060")</f>
        <v>VTMF-7827060</v>
      </c>
    </row>
    <row r="751" customFormat="false" ht="14.25" hidden="false" customHeight="true" outlineLevel="0" collapsed="false">
      <c r="E751" s="8" t="s">
        <v>132</v>
      </c>
      <c r="F751" s="9" t="str">
        <f aca="false">HYPERLINK("https://vtmf.veevavault.com/ui/#doc_info/5588820/1/0", "42756493GAC1001-KOR--Approval (v1.0)")</f>
        <v>42756493GAC1001-KOR--Approval (v1.0)</v>
      </c>
      <c r="G751" s="8" t="s">
        <v>911</v>
      </c>
      <c r="H751" s="9" t="str">
        <f aca="false">HYPERLINK("https://vtmf.veevavault.com/ui/#doc_info/5588820/1/0", "VTMF-1822072")</f>
        <v>VTMF-1822072</v>
      </c>
    </row>
    <row r="752" customFormat="false" ht="14.25" hidden="false" customHeight="true" outlineLevel="0" collapsed="false">
      <c r="E752" s="8" t="s">
        <v>132</v>
      </c>
      <c r="F752" s="9" t="str">
        <f aca="false">HYPERLINK("https://vtmf.veevavault.com/ui/#doc_info/6036628/1/0", "42756493GAC1001-KOR--Approval (v1.0)")</f>
        <v>42756493GAC1001-KOR--Approval (v1.0)</v>
      </c>
      <c r="G752" s="8" t="s">
        <v>912</v>
      </c>
      <c r="H752" s="9" t="str">
        <f aca="false">HYPERLINK("https://vtmf.veevavault.com/ui/#doc_info/6036628/1/0", "VTMF-2262533")</f>
        <v>VTMF-2262533</v>
      </c>
    </row>
    <row r="753" customFormat="false" ht="14.25" hidden="false" customHeight="true" outlineLevel="0" collapsed="false">
      <c r="E753" s="8" t="s">
        <v>132</v>
      </c>
      <c r="F753" s="9" t="str">
        <f aca="false">HYPERLINK("https://vtmf.veevavault.com/ui/#doc_info/7152776/1/0", "42756493GAC1001-KOR--Approval (v1.0)")</f>
        <v>42756493GAC1001-KOR--Approval (v1.0)</v>
      </c>
      <c r="G753" s="8" t="s">
        <v>913</v>
      </c>
      <c r="H753" s="9" t="str">
        <f aca="false">HYPERLINK("https://vtmf.veevavault.com/ui/#doc_info/7152776/1/0", "VTMF-3354481")</f>
        <v>VTMF-3354481</v>
      </c>
    </row>
    <row r="754" customFormat="false" ht="14.25" hidden="false" customHeight="true" outlineLevel="0" collapsed="false">
      <c r="E754" s="8" t="s">
        <v>132</v>
      </c>
      <c r="F754" s="9" t="str">
        <f aca="false">HYPERLINK("https://vtmf.veevavault.com/ui/#doc_info/7152777/1/0", "42756493GAC1001-KOR--Approval (v1.0)")</f>
        <v>42756493GAC1001-KOR--Approval (v1.0)</v>
      </c>
      <c r="G754" s="8" t="s">
        <v>914</v>
      </c>
      <c r="H754" s="9" t="str">
        <f aca="false">HYPERLINK("https://vtmf.veevavault.com/ui/#doc_info/7152777/1/0", "VTMF-3354482")</f>
        <v>VTMF-3354482</v>
      </c>
    </row>
    <row r="755" customFormat="false" ht="14.25" hidden="false" customHeight="true" outlineLevel="0" collapsed="false">
      <c r="E755" s="8" t="s">
        <v>132</v>
      </c>
      <c r="F755" s="9" t="str">
        <f aca="false">HYPERLINK("https://vtmf.veevavault.com/ui/#doc_info/6034922/0/1", "42756493HCC1001-KOR--Approval (v0.1)")</f>
        <v>42756493HCC1001-KOR--Approval (v0.1)</v>
      </c>
      <c r="G755" s="8"/>
      <c r="H755" s="9" t="str">
        <f aca="false">HYPERLINK("https://vtmf.veevavault.com/ui/#doc_info/6034922/0/1", "VTMF-2260895")</f>
        <v>VTMF-2260895</v>
      </c>
    </row>
    <row r="756" customFormat="false" ht="14.25" hidden="false" customHeight="true" outlineLevel="0" collapsed="false">
      <c r="E756" s="8" t="s">
        <v>132</v>
      </c>
      <c r="F756" s="9" t="str">
        <f aca="false">HYPERLINK("https://vtmf.veevavault.com/ui/#doc_info/7819987/1/0", "42756493HCC1001-KOR--Approval-01 Feb 2017 (v1.0)")</f>
        <v>42756493HCC1001-KOR--Approval-01 Feb 2017 (v1.0)</v>
      </c>
      <c r="G756" s="8" t="s">
        <v>915</v>
      </c>
      <c r="H756" s="9" t="str">
        <f aca="false">HYPERLINK("https://vtmf.veevavault.com/ui/#doc_info/7819987/1/0", "VTMF-3990694")</f>
        <v>VTMF-3990694</v>
      </c>
    </row>
    <row r="757" customFormat="false" ht="14.25" hidden="false" customHeight="true" outlineLevel="0" collapsed="false">
      <c r="E757" s="8" t="s">
        <v>132</v>
      </c>
      <c r="F757" s="9" t="str">
        <f aca="false">HYPERLINK("https://vtmf.veevavault.com/ui/#doc_info/6346455/1/0", "42756493HCC1001-KOR--Approval-04 Apr 2016 (v1.0)")</f>
        <v>42756493HCC1001-KOR--Approval-04 Apr 2016 (v1.0)</v>
      </c>
      <c r="G757" s="8" t="s">
        <v>916</v>
      </c>
      <c r="H757" s="9" t="str">
        <f aca="false">HYPERLINK("https://vtmf.veevavault.com/ui/#doc_info/6346455/1/0", "VTMF-2569370")</f>
        <v>VTMF-2569370</v>
      </c>
    </row>
    <row r="758" customFormat="false" ht="14.25" hidden="false" customHeight="true" outlineLevel="0" collapsed="false">
      <c r="E758" s="8" t="s">
        <v>132</v>
      </c>
      <c r="F758" s="9" t="str">
        <f aca="false">HYPERLINK("https://vtmf.veevavault.com/ui/#doc_info/6346456/1/0", "42756493HCC1001-KOR--Approval-04 Apr 2016 (v1.0)")</f>
        <v>42756493HCC1001-KOR--Approval-04 Apr 2016 (v1.0)</v>
      </c>
      <c r="G758" s="8" t="s">
        <v>917</v>
      </c>
      <c r="H758" s="9" t="str">
        <f aca="false">HYPERLINK("https://vtmf.veevavault.com/ui/#doc_info/6346456/1/0", "VTMF-2569371")</f>
        <v>VTMF-2569371</v>
      </c>
    </row>
    <row r="759" customFormat="false" ht="14.25" hidden="false" customHeight="true" outlineLevel="0" collapsed="false">
      <c r="E759" s="8" t="s">
        <v>132</v>
      </c>
      <c r="F759" s="9" t="str">
        <f aca="false">HYPERLINK("https://vtmf.veevavault.com/ui/#doc_info/8748996/1/0", "42756493HCC1001-KOR--Approval-15 Sep 2017 (v1.0)")</f>
        <v>42756493HCC1001-KOR--Approval-15 Sep 2017 (v1.0)</v>
      </c>
      <c r="G759" s="8" t="s">
        <v>918</v>
      </c>
      <c r="H759" s="9" t="str">
        <f aca="false">HYPERLINK("https://vtmf.veevavault.com/ui/#doc_info/8748996/1/0", "VTMF-4869250")</f>
        <v>VTMF-4869250</v>
      </c>
    </row>
    <row r="760" customFormat="false" ht="14.25" hidden="false" customHeight="true" outlineLevel="0" collapsed="false">
      <c r="E760" s="8" t="s">
        <v>132</v>
      </c>
      <c r="F760" s="9" t="str">
        <f aca="false">HYPERLINK("https://vtmf.veevavault.com/ui/#doc_info/5878858/0/1", "42756493LUC2001-KOR--Approval (v0.1)")</f>
        <v>42756493LUC2001-KOR--Approval (v0.1)</v>
      </c>
      <c r="G760" s="8"/>
      <c r="H760" s="9" t="str">
        <f aca="false">HYPERLINK("https://vtmf.veevavault.com/ui/#doc_info/5878858/0/1", "VTMF-2107253")</f>
        <v>VTMF-2107253</v>
      </c>
    </row>
    <row r="761" customFormat="false" ht="14.25" hidden="false" customHeight="true" outlineLevel="0" collapsed="false">
      <c r="E761" s="8" t="s">
        <v>132</v>
      </c>
      <c r="F761" s="9" t="str">
        <f aca="false">HYPERLINK("https://vtmf.veevavault.com/ui/#doc_info/8707735/1/0", "42756493LUC2001-KOR--Approval-05 Sep 2017 (v1.0)")</f>
        <v>42756493LUC2001-KOR--Approval-05 Sep 2017 (v1.0)</v>
      </c>
      <c r="G761" s="8" t="s">
        <v>919</v>
      </c>
      <c r="H761" s="9" t="str">
        <f aca="false">HYPERLINK("https://vtmf.veevavault.com/ui/#doc_info/8707735/1/0", "VTMF-4829444")</f>
        <v>VTMF-4829444</v>
      </c>
    </row>
    <row r="762" customFormat="false" ht="14.25" hidden="false" customHeight="true" outlineLevel="0" collapsed="false">
      <c r="E762" s="8" t="s">
        <v>132</v>
      </c>
      <c r="F762" s="9" t="str">
        <f aca="false">HYPERLINK("https://vtmf.veevavault.com/ui/#doc_info/9928848/1/0", "42756493LUC2001-KOR--Approval-06 Mar 2018 (v1.0)")</f>
        <v>42756493LUC2001-KOR--Approval-06 Mar 2018 (v1.0)</v>
      </c>
      <c r="G762" s="8" t="s">
        <v>920</v>
      </c>
      <c r="H762" s="9" t="str">
        <f aca="false">HYPERLINK("https://vtmf.veevavault.com/ui/#doc_info/9928848/1/0", "VTMF-5979541")</f>
        <v>VTMF-5979541</v>
      </c>
    </row>
    <row r="763" customFormat="false" ht="14.25" hidden="false" customHeight="true" outlineLevel="0" collapsed="false">
      <c r="E763" s="8" t="s">
        <v>132</v>
      </c>
      <c r="F763" s="9" t="str">
        <f aca="false">HYPERLINK("https://vtmf.veevavault.com/ui/#doc_info/9952748/1/0", "42756493LUC2001-KOR--Approval-08 Sep 2017 (v1.0)")</f>
        <v>42756493LUC2001-KOR--Approval-08 Sep 2017 (v1.0)</v>
      </c>
      <c r="G763" s="8" t="s">
        <v>921</v>
      </c>
      <c r="H763" s="9" t="str">
        <f aca="false">HYPERLINK("https://vtmf.veevavault.com/ui/#doc_info/9952748/1/0", "VTMF-6001695")</f>
        <v>VTMF-6001695</v>
      </c>
    </row>
    <row r="764" customFormat="false" ht="14.25" hidden="false" customHeight="true" outlineLevel="0" collapsed="false">
      <c r="E764" s="8" t="s">
        <v>132</v>
      </c>
      <c r="F764" s="9" t="str">
        <f aca="false">HYPERLINK("https://vtmf.veevavault.com/ui/#doc_info/19969520/1/0", "42756493LUC2001-KOR--Approval-12 Aug 2021 (v1.0)")</f>
        <v>42756493LUC2001-KOR--Approval-12 Aug 2021 (v1.0)</v>
      </c>
      <c r="G764" s="8" t="s">
        <v>922</v>
      </c>
      <c r="H764" s="9" t="str">
        <f aca="false">HYPERLINK("https://vtmf.veevavault.com/ui/#doc_info/19969520/1/0", "VTMF-15497334")</f>
        <v>VTMF-15497334</v>
      </c>
    </row>
    <row r="765" customFormat="false" ht="14.25" hidden="false" customHeight="true" outlineLevel="0" collapsed="false">
      <c r="E765" s="8" t="s">
        <v>132</v>
      </c>
      <c r="F765" s="9" t="str">
        <f aca="false">HYPERLINK("https://vtmf.veevavault.com/ui/#doc_info/7305240/1/0", "42756493LUC2001-KOR--Approval-29 Sep 2016 (v1.0)")</f>
        <v>42756493LUC2001-KOR--Approval-29 Sep 2016 (v1.0)</v>
      </c>
      <c r="G765" s="8" t="s">
        <v>923</v>
      </c>
      <c r="H765" s="9" t="str">
        <f aca="false">HYPERLINK("https://vtmf.veevavault.com/ui/#doc_info/7305240/1/0", "VTMF-3501209")</f>
        <v>VTMF-3501209</v>
      </c>
    </row>
    <row r="766" customFormat="false" ht="14.25" hidden="false" customHeight="true" outlineLevel="0" collapsed="false">
      <c r="E766" s="8" t="s">
        <v>132</v>
      </c>
      <c r="F766" s="9" t="str">
        <f aca="false">HYPERLINK("https://vtmf.veevavault.com/ui/#doc_info/12100605/0/1", "42847922MDD3002-KOR--Approval- (v0.1)")</f>
        <v>42847922MDD3002-KOR--Approval- (v0.1)</v>
      </c>
      <c r="G766" s="8"/>
      <c r="H766" s="9" t="str">
        <f aca="false">HYPERLINK("https://vtmf.veevavault.com/ui/#doc_info/12100605/0/1", "VTMF-7980381")</f>
        <v>VTMF-7980381</v>
      </c>
    </row>
    <row r="767" customFormat="false" ht="14.25" hidden="false" customHeight="true" outlineLevel="0" collapsed="false">
      <c r="E767" s="8" t="s">
        <v>132</v>
      </c>
      <c r="F767" s="9" t="str">
        <f aca="false">HYPERLINK("https://vtmf.veevavault.com/ui/#doc_info/19228859/1/0", "53718678RSV2002-KOR--Approval-05 Apr 2021 (v1.0)")</f>
        <v>53718678RSV2002-KOR--Approval-05 Apr 2021 (v1.0)</v>
      </c>
      <c r="G767" s="8" t="s">
        <v>924</v>
      </c>
      <c r="H767" s="9" t="str">
        <f aca="false">HYPERLINK("https://vtmf.veevavault.com/ui/#doc_info/19228859/1/0", "VTMF-14845139")</f>
        <v>VTMF-14845139</v>
      </c>
    </row>
    <row r="768" customFormat="false" ht="14.25" hidden="false" customHeight="true" outlineLevel="0" collapsed="false">
      <c r="E768" s="8" t="s">
        <v>132</v>
      </c>
      <c r="F768" s="9" t="str">
        <f aca="false">HYPERLINK("https://vtmf.veevavault.com/ui/#doc_info/10401497/1/0", "53718678RSV2002-KOR--Approval-14 Jan 2019 (v1.0)")</f>
        <v>53718678RSV2002-KOR--Approval-14 Jan 2019 (v1.0)</v>
      </c>
      <c r="G768" s="8" t="s">
        <v>925</v>
      </c>
      <c r="H768" s="9" t="str">
        <f aca="false">HYPERLINK("https://vtmf.veevavault.com/ui/#doc_info/10401497/1/0", "VTMF-6415634")</f>
        <v>VTMF-6415634</v>
      </c>
    </row>
    <row r="769" customFormat="false" ht="14.25" hidden="false" customHeight="true" outlineLevel="0" collapsed="false">
      <c r="E769" s="8" t="s">
        <v>132</v>
      </c>
      <c r="F769" s="9" t="str">
        <f aca="false">HYPERLINK("https://vtmf.veevavault.com/ui/#doc_info/12061964/1/0", "53718678RSV2002-KOR--Approval-14 Jan 2020 (v1.0)")</f>
        <v>53718678RSV2002-KOR--Approval-14 Jan 2020 (v1.0)</v>
      </c>
      <c r="G769" s="8" t="s">
        <v>926</v>
      </c>
      <c r="H769" s="9" t="str">
        <f aca="false">HYPERLINK("https://vtmf.veevavault.com/ui/#doc_info/12061964/1/0", "VTMF-7945640")</f>
        <v>VTMF-7945640</v>
      </c>
    </row>
    <row r="770" customFormat="false" ht="14.25" hidden="false" customHeight="true" outlineLevel="0" collapsed="false">
      <c r="E770" s="8" t="s">
        <v>132</v>
      </c>
      <c r="F770" s="9" t="str">
        <f aca="false">HYPERLINK("https://vtmf.veevavault.com/ui/#doc_info/14838368/1/0", "53718678RSV2002-KOR--Approval-14 Sep 2020 (v1.0)")</f>
        <v>53718678RSV2002-KOR--Approval-14 Sep 2020 (v1.0)</v>
      </c>
      <c r="G770" s="8" t="s">
        <v>927</v>
      </c>
      <c r="H770" s="9" t="str">
        <f aca="false">HYPERLINK("https://vtmf.veevavault.com/ui/#doc_info/14838368/1/0", "VTMF-10589109")</f>
        <v>VTMF-10589109</v>
      </c>
    </row>
    <row r="771" customFormat="false" ht="14.25" hidden="false" customHeight="true" outlineLevel="0" collapsed="false">
      <c r="E771" s="8" t="s">
        <v>132</v>
      </c>
      <c r="F771" s="9" t="str">
        <f aca="false">HYPERLINK("https://vtmf.veevavault.com/ui/#doc_info/10401498/1/0", "53718678RSV2002-KOR--Approval-18 Dec 2018 (v1.0)")</f>
        <v>53718678RSV2002-KOR--Approval-18 Dec 2018 (v1.0)</v>
      </c>
      <c r="G771" s="8" t="s">
        <v>928</v>
      </c>
      <c r="H771" s="9" t="str">
        <f aca="false">HYPERLINK("https://vtmf.veevavault.com/ui/#doc_info/10401498/1/0", "VTMF-6415635")</f>
        <v>VTMF-6415635</v>
      </c>
    </row>
    <row r="772" customFormat="false" ht="14.25" hidden="false" customHeight="true" outlineLevel="0" collapsed="false">
      <c r="E772" s="8" t="s">
        <v>132</v>
      </c>
      <c r="F772" s="9" t="str">
        <f aca="false">HYPERLINK("https://vtmf.veevavault.com/ui/#doc_info/21428743/1/0", "53718678RSV2002-KOR--Approval-18 Mar 2022 (v1.0)")</f>
        <v>53718678RSV2002-KOR--Approval-18 Mar 2022 (v1.0)</v>
      </c>
      <c r="G772" s="8" t="s">
        <v>929</v>
      </c>
      <c r="H772" s="9" t="str">
        <f aca="false">HYPERLINK("https://vtmf.veevavault.com/ui/#doc_info/21428743/1/0", "VTMF-16787898")</f>
        <v>VTMF-16787898</v>
      </c>
    </row>
    <row r="773" customFormat="false" ht="14.25" hidden="false" customHeight="true" outlineLevel="0" collapsed="false">
      <c r="E773" s="8" t="s">
        <v>132</v>
      </c>
      <c r="F773" s="9" t="str">
        <f aca="false">HYPERLINK("https://vtmf.veevavault.com/ui/#doc_info/15208172/1/0", "53718678RSV2002-KOR--Approval-19 Nov 2020 (v1.0)")</f>
        <v>53718678RSV2002-KOR--Approval-19 Nov 2020 (v1.0)</v>
      </c>
      <c r="G773" s="8" t="s">
        <v>930</v>
      </c>
      <c r="H773" s="9" t="str">
        <f aca="false">HYPERLINK("https://vtmf.veevavault.com/ui/#doc_info/15208172/1/0", "VTMF-10921758")</f>
        <v>VTMF-10921758</v>
      </c>
    </row>
    <row r="774" customFormat="false" ht="14.25" hidden="false" customHeight="true" outlineLevel="0" collapsed="false">
      <c r="E774" s="8" t="s">
        <v>132</v>
      </c>
      <c r="F774" s="9" t="str">
        <f aca="false">HYPERLINK("https://vtmf.veevavault.com/ui/#doc_info/21618778/1/0", "53718678RSV2002-KOR--Approval-22 Apr 2022 (v1.0)")</f>
        <v>53718678RSV2002-KOR--Approval-22 Apr 2022 (v1.0)</v>
      </c>
      <c r="G774" s="8" t="s">
        <v>931</v>
      </c>
      <c r="H774" s="9" t="str">
        <f aca="false">HYPERLINK("https://vtmf.veevavault.com/ui/#doc_info/21618778/1/0", "VTMF-16957090")</f>
        <v>VTMF-16957090</v>
      </c>
    </row>
    <row r="775" customFormat="false" ht="14.25" hidden="false" customHeight="true" outlineLevel="0" collapsed="false">
      <c r="E775" s="8" t="s">
        <v>132</v>
      </c>
      <c r="F775" s="9" t="str">
        <f aca="false">HYPERLINK("https://vtmf.veevavault.com/ui/#doc_info/11305540/1/0", "53718678RSV2002-KOR--Approval-24 Jul 2019 (v1.0)")</f>
        <v>53718678RSV2002-KOR--Approval-24 Jul 2019 (v1.0)</v>
      </c>
      <c r="G775" s="8" t="s">
        <v>932</v>
      </c>
      <c r="H775" s="9" t="str">
        <f aca="false">HYPERLINK("https://vtmf.veevavault.com/ui/#doc_info/11305540/1/0", "VTMF-7253822")</f>
        <v>VTMF-7253822</v>
      </c>
    </row>
    <row r="776" customFormat="false" ht="14.25" hidden="false" customHeight="true" outlineLevel="0" collapsed="false">
      <c r="E776" s="8" t="s">
        <v>132</v>
      </c>
      <c r="F776" s="9" t="str">
        <f aca="false">HYPERLINK("https://vtmf.veevavault.com/ui/#doc_info/11549254/1/0", "53718678RSV2002-KOR--Approval-25 Sep 2019 (v1.0)")</f>
        <v>53718678RSV2002-KOR--Approval-25 Sep 2019 (v1.0)</v>
      </c>
      <c r="G776" s="8" t="s">
        <v>933</v>
      </c>
      <c r="H776" s="9" t="str">
        <f aca="false">HYPERLINK("https://vtmf.veevavault.com/ui/#doc_info/11549254/1/0", "VTMF-7475362")</f>
        <v>VTMF-7475362</v>
      </c>
    </row>
    <row r="777" customFormat="false" ht="14.25" hidden="false" customHeight="true" outlineLevel="0" collapsed="false">
      <c r="E777" s="8" t="s">
        <v>132</v>
      </c>
      <c r="F777" s="9" t="str">
        <f aca="false">HYPERLINK("https://vtmf.veevavault.com/ui/#doc_info/11222725/1/0", "53718678RSV2004-KOR--Approval-03 Jul 2019 (v1.0)")</f>
        <v>53718678RSV2004-KOR--Approval-03 Jul 2019 (v1.0)</v>
      </c>
      <c r="G777" s="8" t="s">
        <v>934</v>
      </c>
      <c r="H777" s="9" t="str">
        <f aca="false">HYPERLINK("https://vtmf.veevavault.com/ui/#doc_info/11222725/1/0", "VTMF-7177791")</f>
        <v>VTMF-7177791</v>
      </c>
    </row>
    <row r="778" customFormat="false" ht="14.25" hidden="false" customHeight="true" outlineLevel="0" collapsed="false">
      <c r="E778" s="8" t="s">
        <v>132</v>
      </c>
      <c r="F778" s="9" t="str">
        <f aca="false">HYPERLINK("https://vtmf.veevavault.com/ui/#doc_info/9484088/1/0", "53718678RSV2004-KOR--Approval-23 Jan 2018 (v1.0)")</f>
        <v>53718678RSV2004-KOR--Approval-23 Jan 2018 (v1.0)</v>
      </c>
      <c r="G778" s="8" t="s">
        <v>935</v>
      </c>
      <c r="H778" s="9" t="str">
        <f aca="false">HYPERLINK("https://vtmf.veevavault.com/ui/#doc_info/9484088/1/0", "VTMF-5564205")</f>
        <v>VTMF-5564205</v>
      </c>
    </row>
    <row r="779" customFormat="false" ht="14.25" hidden="false" customHeight="true" outlineLevel="0" collapsed="false">
      <c r="E779" s="8" t="s">
        <v>132</v>
      </c>
      <c r="F779" s="9" t="str">
        <f aca="false">HYPERLINK("https://vtmf.veevavault.com/ui/#doc_info/11941564/1/0", "53718678RSV2005-KOR--Approval-02 Dec 2019 (v1.0)")</f>
        <v>53718678RSV2005-KOR--Approval-02 Dec 2019 (v1.0)</v>
      </c>
      <c r="G779" s="8" t="s">
        <v>936</v>
      </c>
      <c r="H779" s="9" t="str">
        <f aca="false">HYPERLINK("https://vtmf.veevavault.com/ui/#doc_info/11941564/1/0", "VTMF-7834689")</f>
        <v>VTMF-7834689</v>
      </c>
    </row>
    <row r="780" customFormat="false" ht="14.25" hidden="false" customHeight="true" outlineLevel="0" collapsed="false">
      <c r="E780" s="8" t="s">
        <v>132</v>
      </c>
      <c r="F780" s="9" t="str">
        <f aca="false">HYPERLINK("https://vtmf.veevavault.com/ui/#doc_info/15111359/1/0", "53718678RSV2005-KOR--Approval-03 Nov 2020 (v1.0)")</f>
        <v>53718678RSV2005-KOR--Approval-03 Nov 2020 (v1.0)</v>
      </c>
      <c r="G780" s="8" t="s">
        <v>937</v>
      </c>
      <c r="H780" s="9" t="str">
        <f aca="false">HYPERLINK("https://vtmf.veevavault.com/ui/#doc_info/15111359/1/0", "VTMF-10837663")</f>
        <v>VTMF-10837663</v>
      </c>
    </row>
    <row r="781" customFormat="false" ht="14.25" hidden="false" customHeight="true" outlineLevel="0" collapsed="false">
      <c r="E781" s="8" t="s">
        <v>132</v>
      </c>
      <c r="F781" s="9" t="str">
        <f aca="false">HYPERLINK("https://vtmf.veevavault.com/ui/#doc_info/15180297/1/0", "53718678RSV2005-KOR--Approval-10 Nov 2020 (v1.0)")</f>
        <v>53718678RSV2005-KOR--Approval-10 Nov 2020 (v1.0)</v>
      </c>
      <c r="G781" s="8" t="s">
        <v>938</v>
      </c>
      <c r="H781" s="9" t="str">
        <f aca="false">HYPERLINK("https://vtmf.veevavault.com/ui/#doc_info/15180297/1/0", "VTMF-10897139")</f>
        <v>VTMF-10897139</v>
      </c>
    </row>
    <row r="782" customFormat="false" ht="14.25" hidden="false" customHeight="true" outlineLevel="0" collapsed="false">
      <c r="E782" s="8" t="s">
        <v>132</v>
      </c>
      <c r="F782" s="9" t="str">
        <f aca="false">HYPERLINK("https://vtmf.veevavault.com/ui/#doc_info/12135403/1/0", "53718678RSV2005-KOR--Approval-22 Jan 2020 (v1.0)")</f>
        <v>53718678RSV2005-KOR--Approval-22 Jan 2020 (v1.0)</v>
      </c>
      <c r="G782" s="8" t="s">
        <v>939</v>
      </c>
      <c r="H782" s="9" t="str">
        <f aca="false">HYPERLINK("https://vtmf.veevavault.com/ui/#doc_info/12135403/1/0", "VTMF-8011956")</f>
        <v>VTMF-8011956</v>
      </c>
    </row>
    <row r="783" customFormat="false" ht="14.25" hidden="false" customHeight="true" outlineLevel="0" collapsed="false">
      <c r="E783" s="8" t="s">
        <v>132</v>
      </c>
      <c r="F783" s="9" t="str">
        <f aca="false">HYPERLINK("https://vtmf.veevavault.com/ui/#doc_info/11553580/1/0", "53718678RSV2005-KOR--Approval-25 Sep 2019 (v1.0)")</f>
        <v>53718678RSV2005-KOR--Approval-25 Sep 2019 (v1.0)</v>
      </c>
      <c r="G783" s="8" t="s">
        <v>940</v>
      </c>
      <c r="H783" s="9" t="str">
        <f aca="false">HYPERLINK("https://vtmf.veevavault.com/ui/#doc_info/11553580/1/0", "VTMF-7479346")</f>
        <v>VTMF-7479346</v>
      </c>
    </row>
    <row r="784" customFormat="false" ht="14.25" hidden="false" customHeight="true" outlineLevel="0" collapsed="false">
      <c r="E784" s="8" t="s">
        <v>132</v>
      </c>
      <c r="F784" s="9" t="str">
        <f aca="false">HYPERLINK("https://vtmf.veevavault.com/ui/#doc_info/20053330/2/0", "53718678RSV2005-KOR--Approval-30 Aug 2021 (v2.0)")</f>
        <v>53718678RSV2005-KOR--Approval-30 Aug 2021 (v2.0)</v>
      </c>
      <c r="G784" s="8" t="s">
        <v>941</v>
      </c>
      <c r="H784" s="9" t="str">
        <f aca="false">HYPERLINK("https://vtmf.veevavault.com/ui/#doc_info/20053330/2/0", "VTMF-15571317")</f>
        <v>VTMF-15571317</v>
      </c>
    </row>
    <row r="785" customFormat="false" ht="14.25" hidden="false" customHeight="true" outlineLevel="0" collapsed="false">
      <c r="E785" s="8" t="s">
        <v>132</v>
      </c>
      <c r="F785" s="9" t="str">
        <f aca="false">HYPERLINK("https://vtmf.veevavault.com/ui/#doc_info/11689279/1/0", "53718678RSV2005-KOR--Approval-30 Oct 2019 (v1.0)")</f>
        <v>53718678RSV2005-KOR--Approval-30 Oct 2019 (v1.0)</v>
      </c>
      <c r="G785" s="8" t="s">
        <v>942</v>
      </c>
      <c r="H785" s="9" t="str">
        <f aca="false">HYPERLINK("https://vtmf.veevavault.com/ui/#doc_info/11689279/1/0", "VTMF-7602025")</f>
        <v>VTMF-7602025</v>
      </c>
    </row>
    <row r="786" customFormat="false" ht="14.25" hidden="false" customHeight="true" outlineLevel="0" collapsed="false">
      <c r="E786" s="8" t="s">
        <v>132</v>
      </c>
      <c r="F786" s="9" t="str">
        <f aca="false">HYPERLINK("https://vtmf.veevavault.com/ui/#doc_info/20321406/1/0", "53718678RSV3001-KOR--Approval-05 Oct 2021 (v1.0)")</f>
        <v>53718678RSV3001-KOR--Approval-05 Oct 2021 (v1.0)</v>
      </c>
      <c r="G786" s="8" t="s">
        <v>943</v>
      </c>
      <c r="H786" s="9" t="str">
        <f aca="false">HYPERLINK("https://vtmf.veevavault.com/ui/#doc_info/20321406/1/0", "VTMF-15807957")</f>
        <v>VTMF-15807957</v>
      </c>
    </row>
    <row r="787" customFormat="false" ht="14.25" hidden="false" customHeight="true" outlineLevel="0" collapsed="false">
      <c r="E787" s="8" t="s">
        <v>132</v>
      </c>
      <c r="F787" s="9" t="str">
        <f aca="false">HYPERLINK("https://vtmf.veevavault.com/ui/#doc_info/19984842/1/0", "53718678RSV3001-KOR--Approval-13 Aug 2021 (v1.0)")</f>
        <v>53718678RSV3001-KOR--Approval-13 Aug 2021 (v1.0)</v>
      </c>
      <c r="G787" s="8" t="s">
        <v>944</v>
      </c>
      <c r="H787" s="9" t="str">
        <f aca="false">HYPERLINK("https://vtmf.veevavault.com/ui/#doc_info/19984842/1/0", "VTMF-15511165")</f>
        <v>VTMF-15511165</v>
      </c>
    </row>
    <row r="788" customFormat="false" ht="14.25" hidden="false" customHeight="true" outlineLevel="0" collapsed="false">
      <c r="E788" s="8" t="s">
        <v>132</v>
      </c>
      <c r="F788" s="9" t="str">
        <f aca="false">HYPERLINK("https://vtmf.veevavault.com/ui/#doc_info/20207274/1/0", "53718678RSV3001-KOR--Approval-16 Sep 2021 (v1.0)")</f>
        <v>53718678RSV3001-KOR--Approval-16 Sep 2021 (v1.0)</v>
      </c>
      <c r="G788" s="8" t="s">
        <v>945</v>
      </c>
      <c r="H788" s="9" t="str">
        <f aca="false">HYPERLINK("https://vtmf.veevavault.com/ui/#doc_info/20207274/1/0", "VTMF-15707480")</f>
        <v>VTMF-15707480</v>
      </c>
    </row>
    <row r="789" customFormat="false" ht="14.25" hidden="false" customHeight="true" outlineLevel="0" collapsed="false">
      <c r="E789" s="8" t="s">
        <v>132</v>
      </c>
      <c r="F789" s="9" t="str">
        <f aca="false">HYPERLINK("https://vtmf.veevavault.com/ui/#doc_info/8317015/5/0", "54135419SUI3001-KOR--Approval-04 Apr 2018 (v5.0)")</f>
        <v>54135419SUI3001-KOR--Approval-04 Apr 2018 (v5.0)</v>
      </c>
      <c r="G789" s="8" t="s">
        <v>946</v>
      </c>
      <c r="H789" s="9" t="str">
        <f aca="false">HYPERLINK("https://vtmf.veevavault.com/ui/#doc_info/8317015/5/0", "VTMF-4465678")</f>
        <v>VTMF-4465678</v>
      </c>
    </row>
    <row r="790" customFormat="false" ht="14.25" hidden="false" customHeight="true" outlineLevel="0" collapsed="false">
      <c r="E790" s="8" t="s">
        <v>132</v>
      </c>
      <c r="F790" s="9" t="str">
        <f aca="false">HYPERLINK("https://vtmf.veevavault.com/ui/#doc_info/12505428/0/1", "54135419SUI4003-KOR--Approval- (v0.1)")</f>
        <v>54135419SUI4003-KOR--Approval- (v0.1)</v>
      </c>
      <c r="G790" s="8"/>
      <c r="H790" s="9" t="str">
        <f aca="false">HYPERLINK("https://vtmf.veevavault.com/ui/#doc_info/12505428/0/1", "VTMF-8359537")</f>
        <v>VTMF-8359537</v>
      </c>
    </row>
    <row r="791" customFormat="false" ht="14.25" hidden="false" customHeight="true" outlineLevel="0" collapsed="false">
      <c r="E791" s="8" t="s">
        <v>132</v>
      </c>
      <c r="F791" s="9" t="str">
        <f aca="false">HYPERLINK("https://vtmf.veevavault.com/ui/#doc_info/10973535/1/0", "54135419TRD3008-KOR--Approval-19 Apr 2019 (v1.0)")</f>
        <v>54135419TRD3008-KOR--Approval-19 Apr 2019 (v1.0)</v>
      </c>
      <c r="G791" s="8" t="s">
        <v>947</v>
      </c>
      <c r="H791" s="9" t="str">
        <f aca="false">HYPERLINK("https://vtmf.veevavault.com/ui/#doc_info/10973535/1/0", "VTMF-6944961")</f>
        <v>VTMF-6944961</v>
      </c>
    </row>
    <row r="792" customFormat="false" ht="14.25" hidden="false" customHeight="true" outlineLevel="0" collapsed="false">
      <c r="E792" s="8" t="s">
        <v>132</v>
      </c>
      <c r="F792" s="9" t="str">
        <f aca="false">HYPERLINK("https://vtmf.veevavault.com/ui/#doc_info/8596147/6/0", "54135419TRD3008-KOR--Approval-22 Nov 2017 (v6.0)")</f>
        <v>54135419TRD3008-KOR--Approval-22 Nov 2017 (v6.0)</v>
      </c>
      <c r="G792" s="8" t="s">
        <v>948</v>
      </c>
      <c r="H792" s="9" t="str">
        <f aca="false">HYPERLINK("https://vtmf.veevavault.com/ui/#doc_info/8596147/6/0", "VTMF-4723764")</f>
        <v>VTMF-4723764</v>
      </c>
    </row>
    <row r="793" customFormat="false" ht="14.25" hidden="false" customHeight="true" outlineLevel="0" collapsed="false">
      <c r="E793" s="8" t="s">
        <v>132</v>
      </c>
      <c r="F793" s="9" t="str">
        <f aca="false">HYPERLINK("https://vtmf.veevavault.com/ui/#doc_info/17247981/1/0", "54135419TRD3008-KOR--Approval-28 Dec 2020 (v1.0)")</f>
        <v>54135419TRD3008-KOR--Approval-28 Dec 2020 (v1.0)</v>
      </c>
      <c r="G793" s="8" t="s">
        <v>949</v>
      </c>
      <c r="H793" s="9" t="str">
        <f aca="false">HYPERLINK("https://vtmf.veevavault.com/ui/#doc_info/17247981/1/0", "VTMF-12918634")</f>
        <v>VTMF-12918634</v>
      </c>
    </row>
    <row r="794" customFormat="false" ht="14.25" hidden="false" customHeight="true" outlineLevel="0" collapsed="false">
      <c r="E794" s="8" t="s">
        <v>132</v>
      </c>
      <c r="F794" s="9" t="str">
        <f aca="false">HYPERLINK("https://vtmf.veevavault.com/ui/#doc_info/11327039/1/0", "54135419TRD3008-KOR--Approval-30 Jul 2019 (v1.0)")</f>
        <v>54135419TRD3008-KOR--Approval-30 Jul 2019 (v1.0)</v>
      </c>
      <c r="G794" s="8" t="s">
        <v>950</v>
      </c>
      <c r="H794" s="9" t="str">
        <f aca="false">HYPERLINK("https://vtmf.veevavault.com/ui/#doc_info/11327039/1/0", "VTMF-7273250")</f>
        <v>VTMF-7273250</v>
      </c>
    </row>
    <row r="795" customFormat="false" ht="14.25" hidden="false" customHeight="true" outlineLevel="0" collapsed="false">
      <c r="E795" s="8" t="s">
        <v>132</v>
      </c>
      <c r="F795" s="9" t="str">
        <f aca="false">HYPERLINK("https://vtmf.veevavault.com/ui/#doc_info/12369591/0/1", "54135419TRD3013-KOR--Approval- (v0.1)")</f>
        <v>54135419TRD3013-KOR--Approval- (v0.1)</v>
      </c>
      <c r="G795" s="8"/>
      <c r="H795" s="9" t="str">
        <f aca="false">HYPERLINK("https://vtmf.veevavault.com/ui/#doc_info/12369591/0/1", "VTMF-8227374")</f>
        <v>VTMF-8227374</v>
      </c>
    </row>
    <row r="796" customFormat="false" ht="14.25" hidden="false" customHeight="true" outlineLevel="0" collapsed="false">
      <c r="E796" s="8" t="s">
        <v>132</v>
      </c>
      <c r="F796" s="9" t="str">
        <f aca="false">HYPERLINK("https://vtmf.veevavault.com/ui/#doc_info/13423265/1/0", "54135419TRD3013-KOR--Approval-06 Aug 2020 (v1.0)")</f>
        <v>54135419TRD3013-KOR--Approval-06 Aug 2020 (v1.0)</v>
      </c>
      <c r="G796" s="8" t="s">
        <v>951</v>
      </c>
      <c r="H796" s="9" t="str">
        <f aca="false">HYPERLINK("https://vtmf.veevavault.com/ui/#doc_info/13423265/1/0", "VTMF-9200917")</f>
        <v>VTMF-9200917</v>
      </c>
    </row>
    <row r="797" customFormat="false" ht="14.25" hidden="false" customHeight="true" outlineLevel="0" collapsed="false">
      <c r="E797" s="8" t="s">
        <v>132</v>
      </c>
      <c r="F797" s="9" t="str">
        <f aca="false">HYPERLINK("https://vtmf.veevavault.com/ui/#doc_info/17247982/1/0", "54135419TRD3013-KOR--Approval-12 Jan 2021 (v1.0)")</f>
        <v>54135419TRD3013-KOR--Approval-12 Jan 2021 (v1.0)</v>
      </c>
      <c r="G797" s="8" t="s">
        <v>952</v>
      </c>
      <c r="H797" s="9" t="str">
        <f aca="false">HYPERLINK("https://vtmf.veevavault.com/ui/#doc_info/17247982/1/0", "VTMF-12918635")</f>
        <v>VTMF-12918635</v>
      </c>
    </row>
    <row r="798" customFormat="false" ht="14.25" hidden="false" customHeight="true" outlineLevel="0" collapsed="false">
      <c r="E798" s="8" t="s">
        <v>132</v>
      </c>
      <c r="F798" s="9" t="str">
        <f aca="false">HYPERLINK("https://vtmf.veevavault.com/ui/#doc_info/8228559/1/0", "54179060LYM3003-KOR--Approval-14 May 2017 (v1.0)")</f>
        <v>54179060LYM3003-KOR--Approval-14 May 2017 (v1.0)</v>
      </c>
      <c r="G798" s="8" t="s">
        <v>953</v>
      </c>
      <c r="H798" s="9" t="str">
        <f aca="false">HYPERLINK("https://vtmf.veevavault.com/ui/#doc_info/8228559/1/0", "VTMF-4382056")</f>
        <v>VTMF-4382056</v>
      </c>
    </row>
    <row r="799" customFormat="false" ht="14.25" hidden="false" customHeight="true" outlineLevel="0" collapsed="false">
      <c r="E799" s="8" t="s">
        <v>132</v>
      </c>
      <c r="F799" s="9" t="str">
        <f aca="false">HYPERLINK("https://vtmf.veevavault.com/ui/#doc_info/15366994/1/0", "54179060LYM3003-KOR--Approval-15 Dec 2020 (v1.0)")</f>
        <v>54179060LYM3003-KOR--Approval-15 Dec 2020 (v1.0)</v>
      </c>
      <c r="G799" s="8" t="s">
        <v>954</v>
      </c>
      <c r="H799" s="9" t="str">
        <f aca="false">HYPERLINK("https://vtmf.veevavault.com/ui/#doc_info/15366994/1/0", "VTMF-11065855")</f>
        <v>VTMF-11065855</v>
      </c>
    </row>
    <row r="800" customFormat="false" ht="14.25" hidden="false" customHeight="true" outlineLevel="0" collapsed="false">
      <c r="E800" s="8" t="s">
        <v>132</v>
      </c>
      <c r="F800" s="9" t="str">
        <f aca="false">HYPERLINK("https://vtmf.veevavault.com/ui/#doc_info/9367525/1/0", "54179060LYM3003-KOR--Approval-16 Mar 2018 (v1.0)")</f>
        <v>54179060LYM3003-KOR--Approval-16 Mar 2018 (v1.0)</v>
      </c>
      <c r="G800" s="8" t="s">
        <v>955</v>
      </c>
      <c r="H800" s="9" t="str">
        <f aca="false">HYPERLINK("https://vtmf.veevavault.com/ui/#doc_info/9367525/1/0", "VTMF-5454440")</f>
        <v>VTMF-5454440</v>
      </c>
    </row>
    <row r="801" customFormat="false" ht="14.25" hidden="false" customHeight="true" outlineLevel="0" collapsed="false">
      <c r="E801" s="8" t="s">
        <v>132</v>
      </c>
      <c r="F801" s="9" t="str">
        <f aca="false">HYPERLINK("https://vtmf.veevavault.com/ui/#doc_info/9995751/1/0", "54179060LYM3003-KOR--Approval-17 Aug 2018 (v1.0)")</f>
        <v>54179060LYM3003-KOR--Approval-17 Aug 2018 (v1.0)</v>
      </c>
      <c r="G801" s="8" t="s">
        <v>956</v>
      </c>
      <c r="H801" s="9" t="str">
        <f aca="false">HYPERLINK("https://vtmf.veevavault.com/ui/#doc_info/9995751/1/0", "VTMF-6041724")</f>
        <v>VTMF-6041724</v>
      </c>
    </row>
    <row r="802" customFormat="false" ht="14.25" hidden="false" customHeight="true" outlineLevel="0" collapsed="false">
      <c r="E802" s="8" t="s">
        <v>132</v>
      </c>
      <c r="F802" s="9" t="str">
        <f aca="false">HYPERLINK("https://vtmf.veevavault.com/ui/#doc_info/11752822/1/0", "54179060LYM3003-KOR--Approval-17 Oct 2019 (v1.0)")</f>
        <v>54179060LYM3003-KOR--Approval-17 Oct 2019 (v1.0)</v>
      </c>
      <c r="G802" s="8" t="s">
        <v>957</v>
      </c>
      <c r="H802" s="9" t="str">
        <f aca="false">HYPERLINK("https://vtmf.veevavault.com/ui/#doc_info/11752822/1/0", "VTMF-7660946")</f>
        <v>VTMF-7660946</v>
      </c>
    </row>
    <row r="803" customFormat="false" ht="14.25" hidden="false" customHeight="true" outlineLevel="0" collapsed="false">
      <c r="E803" s="8" t="s">
        <v>132</v>
      </c>
      <c r="F803" s="9" t="str">
        <f aca="false">HYPERLINK("https://vtmf.veevavault.com/ui/#doc_info/13182920/1/0", "54179060LYM3003-KOR--Approval-26 Mar 2020 (v1.0)")</f>
        <v>54179060LYM3003-KOR--Approval-26 Mar 2020 (v1.0)</v>
      </c>
      <c r="G803" s="8" t="s">
        <v>958</v>
      </c>
      <c r="H803" s="9" t="str">
        <f aca="false">HYPERLINK("https://vtmf.veevavault.com/ui/#doc_info/13182920/1/0", "VTMF-8989016")</f>
        <v>VTMF-8989016</v>
      </c>
    </row>
    <row r="804" customFormat="false" ht="14.25" hidden="false" customHeight="true" outlineLevel="0" collapsed="false">
      <c r="E804" s="8" t="s">
        <v>132</v>
      </c>
      <c r="F804" s="9" t="str">
        <f aca="false">HYPERLINK("https://vtmf.veevavault.com/ui/#doc_info/9704677/1/0", "54179060LYM3003-KOR--Approval-28 May 2018 (v1.0)")</f>
        <v>54179060LYM3003-KOR--Approval-28 May 2018 (v1.0)</v>
      </c>
      <c r="G804" s="8" t="s">
        <v>959</v>
      </c>
      <c r="H804" s="9" t="str">
        <f aca="false">HYPERLINK("https://vtmf.veevavault.com/ui/#doc_info/9704677/1/0", "VTMF-5771524")</f>
        <v>VTMF-5771524</v>
      </c>
    </row>
    <row r="805" customFormat="false" ht="14.25" hidden="false" customHeight="true" outlineLevel="0" collapsed="false">
      <c r="E805" s="8" t="s">
        <v>132</v>
      </c>
      <c r="F805" s="9" t="str">
        <f aca="false">HYPERLINK("https://vtmf.veevavault.com/ui/#doc_info/8790492/1/0", "54179060LYM3003-KOR--Approval-28 Sep 2017 (v1.0)")</f>
        <v>54179060LYM3003-KOR--Approval-28 Sep 2017 (v1.0)</v>
      </c>
      <c r="G805" s="8" t="s">
        <v>960</v>
      </c>
      <c r="H805" s="9" t="str">
        <f aca="false">HYPERLINK("https://vtmf.veevavault.com/ui/#doc_info/8790492/1/0", "VTMF-4908549")</f>
        <v>VTMF-4908549</v>
      </c>
    </row>
    <row r="806" customFormat="false" ht="14.25" hidden="false" customHeight="true" outlineLevel="0" collapsed="false">
      <c r="E806" s="8" t="s">
        <v>132</v>
      </c>
      <c r="F806" s="9" t="str">
        <f aca="false">HYPERLINK("https://vtmf.veevavault.com/ui/#doc_info/8790493/1/0", "54179060LYM3003-KOR--Approval-28 Sep 2017 (v1.0)")</f>
        <v>54179060LYM3003-KOR--Approval-28 Sep 2017 (v1.0)</v>
      </c>
      <c r="G806" s="8" t="s">
        <v>961</v>
      </c>
      <c r="H806" s="9" t="str">
        <f aca="false">HYPERLINK("https://vtmf.veevavault.com/ui/#doc_info/8790493/1/0", "VTMF-4908550")</f>
        <v>VTMF-4908550</v>
      </c>
    </row>
    <row r="807" customFormat="false" ht="14.25" hidden="false" customHeight="true" outlineLevel="0" collapsed="false">
      <c r="E807" s="8" t="s">
        <v>132</v>
      </c>
      <c r="F807" s="9" t="str">
        <f aca="false">HYPERLINK("https://vtmf.veevavault.com/ui/#doc_info/8790494/1/0", "54179060LYM3003-KOR--Approval-28 Sep 2017 (v1.0)")</f>
        <v>54179060LYM3003-KOR--Approval-28 Sep 2017 (v1.0)</v>
      </c>
      <c r="G807" s="8" t="s">
        <v>962</v>
      </c>
      <c r="H807" s="9" t="str">
        <f aca="false">HYPERLINK("https://vtmf.veevavault.com/ui/#doc_info/8790494/1/0", "VTMF-4908551")</f>
        <v>VTMF-4908551</v>
      </c>
    </row>
    <row r="808" customFormat="false" ht="14.25" hidden="false" customHeight="true" outlineLevel="0" collapsed="false">
      <c r="E808" s="8" t="s">
        <v>132</v>
      </c>
      <c r="F808" s="9" t="str">
        <f aca="false">HYPERLINK("https://vtmf.veevavault.com/ui/#doc_info/11998147/1/0", "54767414AMY3001-KOR--Approval-03 Jan 2020 (v1.0)")</f>
        <v>54767414AMY3001-KOR--Approval-03 Jan 2020 (v1.0)</v>
      </c>
      <c r="G808" s="8" t="s">
        <v>963</v>
      </c>
      <c r="H808" s="9" t="str">
        <f aca="false">HYPERLINK("https://vtmf.veevavault.com/ui/#doc_info/11998147/1/0", "VTMF-7887460")</f>
        <v>VTMF-7887460</v>
      </c>
    </row>
    <row r="809" customFormat="false" ht="14.25" hidden="false" customHeight="true" outlineLevel="0" collapsed="false">
      <c r="E809" s="8" t="s">
        <v>132</v>
      </c>
      <c r="F809" s="9" t="str">
        <f aca="false">HYPERLINK("https://vtmf.veevavault.com/ui/#doc_info/10506915/1/0", "54767414AMY3001-KOR--Approval-09 Jan 2019 (v1.0)")</f>
        <v>54767414AMY3001-KOR--Approval-09 Jan 2019 (v1.0)</v>
      </c>
      <c r="G809" s="8" t="s">
        <v>964</v>
      </c>
      <c r="H809" s="9" t="str">
        <f aca="false">HYPERLINK("https://vtmf.veevavault.com/ui/#doc_info/10506915/1/0", "VTMF-6513399")</f>
        <v>VTMF-6513399</v>
      </c>
    </row>
    <row r="810" customFormat="false" ht="14.25" hidden="false" customHeight="true" outlineLevel="0" collapsed="false">
      <c r="E810" s="8" t="s">
        <v>132</v>
      </c>
      <c r="F810" s="9" t="str">
        <f aca="false">HYPERLINK("https://vtmf.veevavault.com/ui/#doc_info/10099821/1/0", "54767414AMY3001-KOR--Approval-10 Aug 2018 (v1.0)")</f>
        <v>54767414AMY3001-KOR--Approval-10 Aug 2018 (v1.0)</v>
      </c>
      <c r="G810" s="8" t="s">
        <v>965</v>
      </c>
      <c r="H810" s="9" t="str">
        <f aca="false">HYPERLINK("https://vtmf.veevavault.com/ui/#doc_info/10099821/1/0", "VTMF-6137856")</f>
        <v>VTMF-6137856</v>
      </c>
    </row>
    <row r="811" customFormat="false" ht="14.25" hidden="false" customHeight="true" outlineLevel="0" collapsed="false">
      <c r="E811" s="8" t="s">
        <v>132</v>
      </c>
      <c r="F811" s="9" t="str">
        <f aca="false">HYPERLINK("https://vtmf.veevavault.com/ui/#doc_info/10841524/1/0", "54767414AMY3001-KOR--Approval-11 Apr 2019 (v1.0)")</f>
        <v>54767414AMY3001-KOR--Approval-11 Apr 2019 (v1.0)</v>
      </c>
      <c r="G811" s="8" t="s">
        <v>966</v>
      </c>
      <c r="H811" s="9" t="str">
        <f aca="false">HYPERLINK("https://vtmf.veevavault.com/ui/#doc_info/10841524/1/0", "VTMF-6825079")</f>
        <v>VTMF-6825079</v>
      </c>
    </row>
    <row r="812" customFormat="false" ht="14.25" hidden="false" customHeight="true" outlineLevel="0" collapsed="false">
      <c r="E812" s="8" t="s">
        <v>132</v>
      </c>
      <c r="F812" s="9" t="str">
        <f aca="false">HYPERLINK("https://vtmf.veevavault.com/ui/#doc_info/11327841/1/0", "54767414AMY3001-KOR--Approval-16 Apr 2018 (v1.0)")</f>
        <v>54767414AMY3001-KOR--Approval-16 Apr 2018 (v1.0)</v>
      </c>
      <c r="G812" s="8" t="s">
        <v>967</v>
      </c>
      <c r="H812" s="9" t="str">
        <f aca="false">HYPERLINK("https://vtmf.veevavault.com/ui/#doc_info/11327841/1/0", "VTMF-7273943")</f>
        <v>VTMF-7273943</v>
      </c>
    </row>
    <row r="813" customFormat="false" ht="14.25" hidden="false" customHeight="true" outlineLevel="0" collapsed="false">
      <c r="E813" s="8" t="s">
        <v>132</v>
      </c>
      <c r="F813" s="9" t="str">
        <f aca="false">HYPERLINK("https://vtmf.veevavault.com/ui/#doc_info/11696726/1/0", "54767414AMY3001-KOR--Approval-18 Jul 2019 (v1.0)")</f>
        <v>54767414AMY3001-KOR--Approval-18 Jul 2019 (v1.0)</v>
      </c>
      <c r="G813" s="8" t="s">
        <v>968</v>
      </c>
      <c r="H813" s="9" t="str">
        <f aca="false">HYPERLINK("https://vtmf.veevavault.com/ui/#doc_info/11696726/1/0", "VTMF-7608894")</f>
        <v>VTMF-7608894</v>
      </c>
    </row>
    <row r="814" customFormat="false" ht="14.25" hidden="false" customHeight="true" outlineLevel="0" collapsed="false">
      <c r="E814" s="8" t="s">
        <v>132</v>
      </c>
      <c r="F814" s="9" t="str">
        <f aca="false">HYPERLINK("https://vtmf.veevavault.com/ui/#doc_info/10099820/1/0", "54767414AMY3001-KOR--Approval-23 Feb 2018 (v1.0)")</f>
        <v>54767414AMY3001-KOR--Approval-23 Feb 2018 (v1.0)</v>
      </c>
      <c r="G814" s="8" t="s">
        <v>969</v>
      </c>
      <c r="H814" s="9" t="str">
        <f aca="false">HYPERLINK("https://vtmf.veevavault.com/ui/#doc_info/10099820/1/0", "VTMF-6137855")</f>
        <v>VTMF-6137855</v>
      </c>
    </row>
    <row r="815" customFormat="false" ht="14.25" hidden="false" customHeight="true" outlineLevel="0" collapsed="false">
      <c r="E815" s="8" t="s">
        <v>132</v>
      </c>
      <c r="F815" s="9" t="str">
        <f aca="false">HYPERLINK("https://vtmf.veevavault.com/ui/#doc_info/11809016/1/0", "54767414AMY3001-KOR--Approval-25 Nov 2019 (v1.0)")</f>
        <v>54767414AMY3001-KOR--Approval-25 Nov 2019 (v1.0)</v>
      </c>
      <c r="G815" s="8" t="s">
        <v>970</v>
      </c>
      <c r="H815" s="9" t="str">
        <f aca="false">HYPERLINK("https://vtmf.veevavault.com/ui/#doc_info/11809016/1/0", "VTMF-7713251")</f>
        <v>VTMF-7713251</v>
      </c>
    </row>
    <row r="816" customFormat="false" ht="14.25" hidden="false" customHeight="true" outlineLevel="0" collapsed="false">
      <c r="E816" s="8" t="s">
        <v>132</v>
      </c>
      <c r="F816" s="9" t="str">
        <f aca="false">HYPERLINK("https://vtmf.veevavault.com/ui/#doc_info/11327842/1/0", "54767414AMY3001-KOR--Approval-26 Oct 2018 (v1.0)")</f>
        <v>54767414AMY3001-KOR--Approval-26 Oct 2018 (v1.0)</v>
      </c>
      <c r="G816" s="8" t="s">
        <v>971</v>
      </c>
      <c r="H816" s="9" t="str">
        <f aca="false">HYPERLINK("https://vtmf.veevavault.com/ui/#doc_info/11327842/1/0", "VTMF-7273944")</f>
        <v>VTMF-7273944</v>
      </c>
    </row>
    <row r="817" customFormat="false" ht="14.25" hidden="false" customHeight="true" outlineLevel="0" collapsed="false">
      <c r="E817" s="8" t="s">
        <v>132</v>
      </c>
      <c r="F817" s="9" t="str">
        <f aca="false">HYPERLINK("https://vtmf.veevavault.com/ui/#doc_info/11696725/1/0", "54767414AMY3001-KOR--Approval-30 Aug 2019 (v1.0)")</f>
        <v>54767414AMY3001-KOR--Approval-30 Aug 2019 (v1.0)</v>
      </c>
      <c r="G817" s="8" t="s">
        <v>972</v>
      </c>
      <c r="H817" s="9" t="str">
        <f aca="false">HYPERLINK("https://vtmf.veevavault.com/ui/#doc_info/11696725/1/0", "VTMF-7608893")</f>
        <v>VTMF-7608893</v>
      </c>
    </row>
    <row r="818" customFormat="false" ht="14.25" hidden="false" customHeight="true" outlineLevel="0" collapsed="false">
      <c r="E818" s="8" t="s">
        <v>132</v>
      </c>
      <c r="F818" s="9" t="str">
        <f aca="false">HYPERLINK("https://vtmf.veevavault.com/ui/#doc_info/4499656/2/0", "54767414LYM2001-KOR--Approval (v2.0)")</f>
        <v>54767414LYM2001-KOR--Approval (v2.0)</v>
      </c>
      <c r="G818" s="8" t="s">
        <v>973</v>
      </c>
      <c r="H818" s="9" t="str">
        <f aca="false">HYPERLINK("https://vtmf.veevavault.com/ui/#doc_info/4499656/2/0", "VTMF-743009")</f>
        <v>VTMF-743009</v>
      </c>
    </row>
    <row r="819" customFormat="false" ht="14.25" hidden="false" customHeight="true" outlineLevel="0" collapsed="false">
      <c r="E819" s="8" t="s">
        <v>132</v>
      </c>
      <c r="F819" s="9" t="str">
        <f aca="false">HYPERLINK("https://vtmf.veevavault.com/ui/#doc_info/8914889/0/1", "54767414MMY2040-KOR--Approval (v0.1)")</f>
        <v>54767414MMY2040-KOR--Approval (v0.1)</v>
      </c>
      <c r="G819" s="8"/>
      <c r="H819" s="9" t="str">
        <f aca="false">HYPERLINK("https://vtmf.veevavault.com/ui/#doc_info/8914889/0/1", "VTMF-5026437")</f>
        <v>VTMF-5026437</v>
      </c>
    </row>
    <row r="820" customFormat="false" ht="14.25" hidden="false" customHeight="true" outlineLevel="0" collapsed="false">
      <c r="E820" s="8" t="s">
        <v>132</v>
      </c>
      <c r="F820" s="9" t="str">
        <f aca="false">HYPERLINK("https://vtmf.veevavault.com/ui/#doc_info/2738512/1/0", "54767414MMY3003-KOR--Approval-01 Apr 2015 (v1.0)")</f>
        <v>54767414MMY3003-KOR--Approval-01 Apr 2015 (v1.0)</v>
      </c>
      <c r="G820" s="8" t="s">
        <v>974</v>
      </c>
      <c r="H820" s="9" t="str">
        <f aca="false">HYPERLINK("https://vtmf.veevavault.com/ui/#doc_info/2738512/1/0", "EDMS-GCO-102417799")</f>
        <v>EDMS-GCO-102417799</v>
      </c>
    </row>
    <row r="821" customFormat="false" ht="14.25" hidden="false" customHeight="true" outlineLevel="0" collapsed="false">
      <c r="E821" s="8" t="s">
        <v>132</v>
      </c>
      <c r="F821" s="9" t="str">
        <f aca="false">HYPERLINK("https://vtmf.veevavault.com/ui/#doc_info/2738522/1/0", "54767414MMY3003-KOR--Approval-01 Apr 2015 (v1.0)")</f>
        <v>54767414MMY3003-KOR--Approval-01 Apr 2015 (v1.0)</v>
      </c>
      <c r="G821" s="8" t="s">
        <v>975</v>
      </c>
      <c r="H821" s="9" t="str">
        <f aca="false">HYPERLINK("https://vtmf.veevavault.com/ui/#doc_info/2738522/1/0", "EDMS-GCO-102418734")</f>
        <v>EDMS-GCO-102418734</v>
      </c>
    </row>
    <row r="822" customFormat="false" ht="14.25" hidden="false" customHeight="true" outlineLevel="0" collapsed="false">
      <c r="E822" s="8" t="s">
        <v>132</v>
      </c>
      <c r="F822" s="9" t="str">
        <f aca="false">HYPERLINK("https://vtmf.veevavault.com/ui/#doc_info/7339556/1/0", "54767414MMY3003-KOR--Approval-04 Oct 2016 (v1.0)")</f>
        <v>54767414MMY3003-KOR--Approval-04 Oct 2016 (v1.0)</v>
      </c>
      <c r="G822" s="8" t="s">
        <v>976</v>
      </c>
      <c r="H822" s="9" t="str">
        <f aca="false">HYPERLINK("https://vtmf.veevavault.com/ui/#doc_info/7339556/1/0", "VTMF-3533680")</f>
        <v>VTMF-3533680</v>
      </c>
    </row>
    <row r="823" customFormat="false" ht="14.25" hidden="false" customHeight="true" outlineLevel="0" collapsed="false">
      <c r="E823" s="8" t="s">
        <v>132</v>
      </c>
      <c r="F823" s="9" t="str">
        <f aca="false">HYPERLINK("https://vtmf.veevavault.com/ui/#doc_info/7339659/1/0", "54767414MMY3003-KOR--Approval-04 Oct 2016 (v1.0)")</f>
        <v>54767414MMY3003-KOR--Approval-04 Oct 2016 (v1.0)</v>
      </c>
      <c r="G823" s="8" t="s">
        <v>977</v>
      </c>
      <c r="H823" s="9" t="str">
        <f aca="false">HYPERLINK("https://vtmf.veevavault.com/ui/#doc_info/7339659/1/0", "VTMF-3533786")</f>
        <v>VTMF-3533786</v>
      </c>
    </row>
    <row r="824" customFormat="false" ht="14.25" hidden="false" customHeight="true" outlineLevel="0" collapsed="false">
      <c r="E824" s="8" t="s">
        <v>132</v>
      </c>
      <c r="F824" s="9" t="str">
        <f aca="false">HYPERLINK("https://vtmf.veevavault.com/ui/#doc_info/19942858/1/0", "54767414MMY3003-KOR--Approval-05 Aug 2021 (v1.0)")</f>
        <v>54767414MMY3003-KOR--Approval-05 Aug 2021 (v1.0)</v>
      </c>
      <c r="G824" s="8" t="s">
        <v>978</v>
      </c>
      <c r="H824" s="9" t="str">
        <f aca="false">HYPERLINK("https://vtmf.veevavault.com/ui/#doc_info/19942858/1/0", "VTMF-15473591")</f>
        <v>VTMF-15473591</v>
      </c>
    </row>
    <row r="825" customFormat="false" ht="14.25" hidden="false" customHeight="true" outlineLevel="0" collapsed="false">
      <c r="E825" s="8" t="s">
        <v>132</v>
      </c>
      <c r="F825" s="9" t="str">
        <f aca="false">HYPERLINK("https://vtmf.veevavault.com/ui/#doc_info/6367094/1/0", "54767414MMY3003-KOR--Approval-08 Apr 2016 (v1.0)")</f>
        <v>54767414MMY3003-KOR--Approval-08 Apr 2016 (v1.0)</v>
      </c>
      <c r="G825" s="8" t="s">
        <v>979</v>
      </c>
      <c r="H825" s="9" t="str">
        <f aca="false">HYPERLINK("https://vtmf.veevavault.com/ui/#doc_info/6367094/1/0", "VTMF-2589662")</f>
        <v>VTMF-2589662</v>
      </c>
    </row>
    <row r="826" customFormat="false" ht="14.25" hidden="false" customHeight="true" outlineLevel="0" collapsed="false">
      <c r="E826" s="8" t="s">
        <v>132</v>
      </c>
      <c r="F826" s="9" t="str">
        <f aca="false">HYPERLINK("https://vtmf.veevavault.com/ui/#doc_info/10437097/1/0", "54767414MMY3003-KOR--Approval-09 Jan 2019 (v1.0)")</f>
        <v>54767414MMY3003-KOR--Approval-09 Jan 2019 (v1.0)</v>
      </c>
      <c r="G826" s="8" t="s">
        <v>980</v>
      </c>
      <c r="H826" s="9" t="str">
        <f aca="false">HYPERLINK("https://vtmf.veevavault.com/ui/#doc_info/10437097/1/0", "VTMF-6448995")</f>
        <v>VTMF-6448995</v>
      </c>
    </row>
    <row r="827" customFormat="false" ht="14.25" hidden="false" customHeight="true" outlineLevel="0" collapsed="false">
      <c r="E827" s="8" t="s">
        <v>132</v>
      </c>
      <c r="F827" s="9" t="str">
        <f aca="false">HYPERLINK("https://vtmf.veevavault.com/ui/#doc_info/7060898/1/0", "54767414MMY3003-KOR--Approval-10 Aug 2016 (v1.0)")</f>
        <v>54767414MMY3003-KOR--Approval-10 Aug 2016 (v1.0)</v>
      </c>
      <c r="G827" s="8" t="s">
        <v>981</v>
      </c>
      <c r="H827" s="9" t="str">
        <f aca="false">HYPERLINK("https://vtmf.veevavault.com/ui/#doc_info/7060898/1/0", "VTMF-3267560")</f>
        <v>VTMF-3267560</v>
      </c>
    </row>
    <row r="828" customFormat="false" ht="14.25" hidden="false" customHeight="true" outlineLevel="0" collapsed="false">
      <c r="E828" s="8" t="s">
        <v>132</v>
      </c>
      <c r="F828" s="9" t="str">
        <f aca="false">HYPERLINK("https://vtmf.veevavault.com/ui/#doc_info/9986360/1/0", "54767414MMY3003-KOR--Approval-16 Apr 2018 (v1.0)")</f>
        <v>54767414MMY3003-KOR--Approval-16 Apr 2018 (v1.0)</v>
      </c>
      <c r="G828" s="8" t="s">
        <v>982</v>
      </c>
      <c r="H828" s="9" t="str">
        <f aca="false">HYPERLINK("https://vtmf.veevavault.com/ui/#doc_info/9986360/1/0", "VTMF-6033019")</f>
        <v>VTMF-6033019</v>
      </c>
    </row>
    <row r="829" customFormat="false" ht="14.25" hidden="false" customHeight="true" outlineLevel="0" collapsed="false">
      <c r="E829" s="8" t="s">
        <v>132</v>
      </c>
      <c r="F829" s="9" t="str">
        <f aca="false">HYPERLINK("https://vtmf.veevavault.com/ui/#doc_info/13143494/1/0", "54767414MMY3003-KOR--Approval-18 Jun 2020 (v1.0)")</f>
        <v>54767414MMY3003-KOR--Approval-18 Jun 2020 (v1.0)</v>
      </c>
      <c r="G829" s="8" t="s">
        <v>983</v>
      </c>
      <c r="H829" s="9" t="str">
        <f aca="false">HYPERLINK("https://vtmf.veevavault.com/ui/#doc_info/13143494/1/0", "VTMF-8954002")</f>
        <v>VTMF-8954002</v>
      </c>
    </row>
    <row r="830" customFormat="false" ht="14.25" hidden="false" customHeight="true" outlineLevel="0" collapsed="false">
      <c r="E830" s="8" t="s">
        <v>132</v>
      </c>
      <c r="F830" s="9" t="str">
        <f aca="false">HYPERLINK("https://vtmf.veevavault.com/ui/#doc_info/4543402/1/0", "54767414MMY3003-KOR--Approval-24 Jul 2015 (v1.0)")</f>
        <v>54767414MMY3003-KOR--Approval-24 Jul 2015 (v1.0)</v>
      </c>
      <c r="G830" s="8" t="s">
        <v>984</v>
      </c>
      <c r="H830" s="9" t="str">
        <f aca="false">HYPERLINK("https://vtmf.veevavault.com/ui/#doc_info/4543402/1/0", "VTMF-786713")</f>
        <v>VTMF-786713</v>
      </c>
    </row>
    <row r="831" customFormat="false" ht="14.25" hidden="false" customHeight="true" outlineLevel="0" collapsed="false">
      <c r="E831" s="8" t="s">
        <v>132</v>
      </c>
      <c r="F831" s="9" t="str">
        <f aca="false">HYPERLINK("https://vtmf.veevavault.com/ui/#doc_info/4543403/1/0", "54767414MMY3003-KOR--Approval-24 Jul 2015 (v1.0)")</f>
        <v>54767414MMY3003-KOR--Approval-24 Jul 2015 (v1.0)</v>
      </c>
      <c r="G831" s="8" t="s">
        <v>985</v>
      </c>
      <c r="H831" s="9" t="str">
        <f aca="false">HYPERLINK("https://vtmf.veevavault.com/ui/#doc_info/4543403/1/0", "VTMF-786714")</f>
        <v>VTMF-786714</v>
      </c>
    </row>
    <row r="832" customFormat="false" ht="14.25" hidden="false" customHeight="true" outlineLevel="0" collapsed="false">
      <c r="E832" s="8" t="s">
        <v>132</v>
      </c>
      <c r="F832" s="9" t="str">
        <f aca="false">HYPERLINK("https://vtmf.veevavault.com/ui/#doc_info/8436261/1/0", "54767414MMY3003-KOR--Approval-26 Jun 2017 (v1.0)")</f>
        <v>54767414MMY3003-KOR--Approval-26 Jun 2017 (v1.0)</v>
      </c>
      <c r="G832" s="8" t="s">
        <v>986</v>
      </c>
      <c r="H832" s="9" t="str">
        <f aca="false">HYPERLINK("https://vtmf.veevavault.com/ui/#doc_info/8436261/1/0", "VTMF-4577013")</f>
        <v>VTMF-4577013</v>
      </c>
    </row>
    <row r="833" customFormat="false" ht="14.25" hidden="false" customHeight="true" outlineLevel="0" collapsed="false">
      <c r="E833" s="8" t="s">
        <v>132</v>
      </c>
      <c r="F833" s="9" t="str">
        <f aca="false">HYPERLINK("https://vtmf.veevavault.com/ui/#doc_info/9335399/1/0", "54767414MMY3003-KOR--Approval-27 Feb 2018 (v1.0)")</f>
        <v>54767414MMY3003-KOR--Approval-27 Feb 2018 (v1.0)</v>
      </c>
      <c r="G833" s="8" t="s">
        <v>987</v>
      </c>
      <c r="H833" s="9" t="str">
        <f aca="false">HYPERLINK("https://vtmf.veevavault.com/ui/#doc_info/9335399/1/0", "VTMF-5424065")</f>
        <v>VTMF-5424065</v>
      </c>
    </row>
    <row r="834" customFormat="false" ht="14.25" hidden="false" customHeight="true" outlineLevel="0" collapsed="false">
      <c r="E834" s="8" t="s">
        <v>132</v>
      </c>
      <c r="F834" s="9" t="str">
        <f aca="false">HYPERLINK("https://vtmf.veevavault.com/ui/#doc_info/2497116/1/0", "54767414MMY3003-KOR--Approval-27 May 2014 (v1.0)")</f>
        <v>54767414MMY3003-KOR--Approval-27 May 2014 (v1.0)</v>
      </c>
      <c r="G834" s="8" t="s">
        <v>988</v>
      </c>
      <c r="H834" s="9" t="str">
        <f aca="false">HYPERLINK("https://vtmf.veevavault.com/ui/#doc_info/2497116/1/0", "EDMS-GCO-88000703")</f>
        <v>EDMS-GCO-88000703</v>
      </c>
    </row>
    <row r="835" customFormat="false" ht="14.25" hidden="false" customHeight="true" outlineLevel="0" collapsed="false">
      <c r="E835" s="8" t="s">
        <v>132</v>
      </c>
      <c r="F835" s="9" t="str">
        <f aca="false">HYPERLINK("https://vtmf.veevavault.com/ui/#doc_info/7290557/1/0", "54767414MMY3003-KOR--Approval-27 Sep 2016 (v1.0)")</f>
        <v>54767414MMY3003-KOR--Approval-27 Sep 2016 (v1.0)</v>
      </c>
      <c r="G835" s="8" t="s">
        <v>989</v>
      </c>
      <c r="H835" s="9" t="str">
        <f aca="false">HYPERLINK("https://vtmf.veevavault.com/ui/#doc_info/7290557/1/0", "VTMF-3487652")</f>
        <v>VTMF-3487652</v>
      </c>
    </row>
    <row r="836" customFormat="false" ht="14.25" hidden="false" customHeight="true" outlineLevel="0" collapsed="false">
      <c r="E836" s="8" t="s">
        <v>132</v>
      </c>
      <c r="F836" s="9" t="str">
        <f aca="false">HYPERLINK("https://vtmf.veevavault.com/ui/#doc_info/2471373/1/0", "54767414MMY3003-KOR--Approval-31 Mar 2015 (v1.0)")</f>
        <v>54767414MMY3003-KOR--Approval-31 Mar 2015 (v1.0)</v>
      </c>
      <c r="G836" s="8" t="s">
        <v>990</v>
      </c>
      <c r="H836" s="9" t="str">
        <f aca="false">HYPERLINK("https://vtmf.veevavault.com/ui/#doc_info/2471373/1/0", "EDMS-GCO-83136375")</f>
        <v>EDMS-GCO-83136375</v>
      </c>
    </row>
    <row r="837" customFormat="false" ht="14.25" hidden="false" customHeight="true" outlineLevel="0" collapsed="false">
      <c r="E837" s="8" t="s">
        <v>132</v>
      </c>
      <c r="F837" s="9" t="str">
        <f aca="false">HYPERLINK("https://vtmf.veevavault.com/ui/#doc_info/2497956/1/0", "54767414MMY3003-KOR--Approval-31 Mar 2015 (v1.0)")</f>
        <v>54767414MMY3003-KOR--Approval-31 Mar 2015 (v1.0)</v>
      </c>
      <c r="G837" s="8" t="s">
        <v>991</v>
      </c>
      <c r="H837" s="9" t="str">
        <f aca="false">HYPERLINK("https://vtmf.veevavault.com/ui/#doc_info/2497956/1/0", "EDMS-GCO-88107533")</f>
        <v>EDMS-GCO-88107533</v>
      </c>
    </row>
    <row r="838" customFormat="false" ht="14.25" hidden="false" customHeight="true" outlineLevel="0" collapsed="false">
      <c r="E838" s="8" t="s">
        <v>132</v>
      </c>
      <c r="F838" s="9" t="str">
        <f aca="false">HYPERLINK("https://vtmf.veevavault.com/ui/#doc_info/2619589/1/0", "54767414MMY3004-KOR--Approval-01 Apr 2015 (v1.0)")</f>
        <v>54767414MMY3004-KOR--Approval-01 Apr 2015 (v1.0)</v>
      </c>
      <c r="G838" s="8" t="s">
        <v>992</v>
      </c>
      <c r="H838" s="9" t="str">
        <f aca="false">HYPERLINK("https://vtmf.veevavault.com/ui/#doc_info/2619589/1/0", "EDMS-GCO-97505160")</f>
        <v>EDMS-GCO-97505160</v>
      </c>
    </row>
    <row r="839" customFormat="false" ht="14.25" hidden="false" customHeight="true" outlineLevel="0" collapsed="false">
      <c r="E839" s="8" t="s">
        <v>132</v>
      </c>
      <c r="F839" s="9" t="str">
        <f aca="false">HYPERLINK("https://vtmf.veevavault.com/ui/#doc_info/2619597/1/0", "54767414MMY3004-KOR--Approval-01 Apr 2015 (v1.0)")</f>
        <v>54767414MMY3004-KOR--Approval-01 Apr 2015 (v1.0)</v>
      </c>
      <c r="G839" s="8" t="s">
        <v>993</v>
      </c>
      <c r="H839" s="9" t="str">
        <f aca="false">HYPERLINK("https://vtmf.veevavault.com/ui/#doc_info/2619597/1/0", "EDMS-GCO-97505161")</f>
        <v>EDMS-GCO-97505161</v>
      </c>
    </row>
    <row r="840" customFormat="false" ht="14.25" hidden="false" customHeight="true" outlineLevel="0" collapsed="false">
      <c r="E840" s="8" t="s">
        <v>132</v>
      </c>
      <c r="F840" s="9" t="str">
        <f aca="false">HYPERLINK("https://vtmf.veevavault.com/ui/#doc_info/2627089/1/0", "54767414MMY3004-KOR--Approval-01 Apr 2015 (v1.0)")</f>
        <v>54767414MMY3004-KOR--Approval-01 Apr 2015 (v1.0)</v>
      </c>
      <c r="G840" s="8" t="s">
        <v>994</v>
      </c>
      <c r="H840" s="9" t="str">
        <f aca="false">HYPERLINK("https://vtmf.veevavault.com/ui/#doc_info/2627089/1/0", "EDMS-GCO-97741782")</f>
        <v>EDMS-GCO-97741782</v>
      </c>
    </row>
    <row r="841" customFormat="false" ht="14.25" hidden="false" customHeight="true" outlineLevel="0" collapsed="false">
      <c r="E841" s="8" t="s">
        <v>132</v>
      </c>
      <c r="F841" s="9" t="str">
        <f aca="false">HYPERLINK("https://vtmf.veevavault.com/ui/#doc_info/2627101/1/0", "54767414MMY3004-KOR--Approval-01 Apr 2015 (v1.0)")</f>
        <v>54767414MMY3004-KOR--Approval-01 Apr 2015 (v1.0)</v>
      </c>
      <c r="G841" s="8" t="s">
        <v>995</v>
      </c>
      <c r="H841" s="9" t="str">
        <f aca="false">HYPERLINK("https://vtmf.veevavault.com/ui/#doc_info/2627101/1/0", "EDMS-GCO-97741783")</f>
        <v>EDMS-GCO-97741783</v>
      </c>
    </row>
    <row r="842" customFormat="false" ht="14.25" hidden="false" customHeight="true" outlineLevel="0" collapsed="false">
      <c r="E842" s="8" t="s">
        <v>132</v>
      </c>
      <c r="F842" s="9" t="str">
        <f aca="false">HYPERLINK("https://vtmf.veevavault.com/ui/#doc_info/2627112/1/0", "54767414MMY3004-KOR--Approval-01 Apr 2015 (v1.0)")</f>
        <v>54767414MMY3004-KOR--Approval-01 Apr 2015 (v1.0)</v>
      </c>
      <c r="G842" s="8" t="s">
        <v>996</v>
      </c>
      <c r="H842" s="9" t="str">
        <f aca="false">HYPERLINK("https://vtmf.veevavault.com/ui/#doc_info/2627112/1/0", "EDMS-GCO-97741784")</f>
        <v>EDMS-GCO-97741784</v>
      </c>
    </row>
    <row r="843" customFormat="false" ht="14.25" hidden="false" customHeight="true" outlineLevel="0" collapsed="false">
      <c r="E843" s="8" t="s">
        <v>132</v>
      </c>
      <c r="F843" s="9" t="str">
        <f aca="false">HYPERLINK("https://vtmf.veevavault.com/ui/#doc_info/2627124/1/0", "54767414MMY3004-KOR--Approval-01 Apr 2015 (v1.0)")</f>
        <v>54767414MMY3004-KOR--Approval-01 Apr 2015 (v1.0)</v>
      </c>
      <c r="G843" s="8" t="s">
        <v>997</v>
      </c>
      <c r="H843" s="9" t="str">
        <f aca="false">HYPERLINK("https://vtmf.veevavault.com/ui/#doc_info/2627124/1/0", "EDMS-GCO-97742027")</f>
        <v>EDMS-GCO-97742027</v>
      </c>
    </row>
    <row r="844" customFormat="false" ht="14.25" hidden="false" customHeight="true" outlineLevel="0" collapsed="false">
      <c r="E844" s="8" t="s">
        <v>132</v>
      </c>
      <c r="F844" s="9" t="str">
        <f aca="false">HYPERLINK("https://vtmf.veevavault.com/ui/#doc_info/7339657/1/0", "54767414MMY3004-KOR--Approval-04 Oct 2016 (v1.0)")</f>
        <v>54767414MMY3004-KOR--Approval-04 Oct 2016 (v1.0)</v>
      </c>
      <c r="G844" s="8" t="s">
        <v>998</v>
      </c>
      <c r="H844" s="9" t="str">
        <f aca="false">HYPERLINK("https://vtmf.veevavault.com/ui/#doc_info/7339657/1/0", "VTMF-3533784")</f>
        <v>VTMF-3533784</v>
      </c>
    </row>
    <row r="845" customFormat="false" ht="14.25" hidden="false" customHeight="true" outlineLevel="0" collapsed="false">
      <c r="E845" s="8" t="s">
        <v>132</v>
      </c>
      <c r="F845" s="9" t="str">
        <f aca="false">HYPERLINK("https://vtmf.veevavault.com/ui/#doc_info/10437099/1/0", "54767414MMY3004-KOR--Approval-09 Jan 2019 (v1.0)")</f>
        <v>54767414MMY3004-KOR--Approval-09 Jan 2019 (v1.0)</v>
      </c>
      <c r="G845" s="8" t="s">
        <v>999</v>
      </c>
      <c r="H845" s="9" t="str">
        <f aca="false">HYPERLINK("https://vtmf.veevavault.com/ui/#doc_info/10437099/1/0", "VTMF-6448997")</f>
        <v>VTMF-6448997</v>
      </c>
    </row>
    <row r="846" customFormat="false" ht="14.25" hidden="false" customHeight="true" outlineLevel="0" collapsed="false">
      <c r="E846" s="8" t="s">
        <v>132</v>
      </c>
      <c r="F846" s="9" t="str">
        <f aca="false">HYPERLINK("https://vtmf.veevavault.com/ui/#doc_info/11531599/1/0", "54767414MMY3004-KOR--Approval-09 Sep 2019 (v1.0)")</f>
        <v>54767414MMY3004-KOR--Approval-09 Sep 2019 (v1.0)</v>
      </c>
      <c r="G846" s="8" t="s">
        <v>1000</v>
      </c>
      <c r="H846" s="9" t="str">
        <f aca="false">HYPERLINK("https://vtmf.veevavault.com/ui/#doc_info/11531599/1/0", "VTMF-7459264")</f>
        <v>VTMF-7459264</v>
      </c>
    </row>
    <row r="847" customFormat="false" ht="14.25" hidden="false" customHeight="true" outlineLevel="0" collapsed="false">
      <c r="E847" s="8" t="s">
        <v>132</v>
      </c>
      <c r="F847" s="9" t="str">
        <f aca="false">HYPERLINK("https://vtmf.veevavault.com/ui/#doc_info/19591105/2/0", "54767414MMY3004-KOR--Approval-16 Jun 2021 (v2.0)")</f>
        <v>54767414MMY3004-KOR--Approval-16 Jun 2021 (v2.0)</v>
      </c>
      <c r="G847" s="8" t="s">
        <v>1001</v>
      </c>
      <c r="H847" s="9" t="str">
        <f aca="false">HYPERLINK("https://vtmf.veevavault.com/ui/#doc_info/19591105/2/0", "VTMF-15163935")</f>
        <v>VTMF-15163935</v>
      </c>
    </row>
    <row r="848" customFormat="false" ht="14.25" hidden="false" customHeight="true" outlineLevel="0" collapsed="false">
      <c r="E848" s="8" t="s">
        <v>132</v>
      </c>
      <c r="F848" s="9" t="str">
        <f aca="false">HYPERLINK("https://vtmf.veevavault.com/ui/#doc_info/13143395/1/0", "54767414MMY3004-KOR--Approval-18 Jun 2020 (v1.0)")</f>
        <v>54767414MMY3004-KOR--Approval-18 Jun 2020 (v1.0)</v>
      </c>
      <c r="G848" s="8" t="s">
        <v>1002</v>
      </c>
      <c r="H848" s="9" t="str">
        <f aca="false">HYPERLINK("https://vtmf.veevavault.com/ui/#doc_info/13143395/1/0", "VTMF-8953922")</f>
        <v>VTMF-8953922</v>
      </c>
    </row>
    <row r="849" customFormat="false" ht="14.25" hidden="false" customHeight="true" outlineLevel="0" collapsed="false">
      <c r="E849" s="8" t="s">
        <v>132</v>
      </c>
      <c r="F849" s="9" t="str">
        <f aca="false">HYPERLINK("https://vtmf.veevavault.com/ui/#doc_info/4708309/1/0", "54767414MMY3004-KOR--Approval-20 Apr 2015 (v1.0)")</f>
        <v>54767414MMY3004-KOR--Approval-20 Apr 2015 (v1.0)</v>
      </c>
      <c r="G849" s="8" t="s">
        <v>1003</v>
      </c>
      <c r="H849" s="9" t="str">
        <f aca="false">HYPERLINK("https://vtmf.veevavault.com/ui/#doc_info/4708309/1/0", "VTMF-949896")</f>
        <v>VTMF-949896</v>
      </c>
    </row>
    <row r="850" customFormat="false" ht="14.25" hidden="false" customHeight="true" outlineLevel="0" collapsed="false">
      <c r="E850" s="8" t="s">
        <v>132</v>
      </c>
      <c r="F850" s="9" t="str">
        <f aca="false">HYPERLINK("https://vtmf.veevavault.com/ui/#doc_info/10000600/1/0", "54767414MMY3004-KOR--Approval-24 May 2016 (v1.0)")</f>
        <v>54767414MMY3004-KOR--Approval-24 May 2016 (v1.0)</v>
      </c>
      <c r="G850" s="8" t="s">
        <v>1004</v>
      </c>
      <c r="H850" s="9" t="str">
        <f aca="false">HYPERLINK("https://vtmf.veevavault.com/ui/#doc_info/10000600/1/0", "VTMF-6046244")</f>
        <v>VTMF-6046244</v>
      </c>
    </row>
    <row r="851" customFormat="false" ht="14.25" hidden="false" customHeight="true" outlineLevel="0" collapsed="false">
      <c r="E851" s="8" t="s">
        <v>132</v>
      </c>
      <c r="F851" s="9" t="str">
        <f aca="false">HYPERLINK("https://vtmf.veevavault.com/ui/#doc_info/7290881/1/0", "54767414MMY3004-KOR--Approval-27 Sep 2016 (v1.0)")</f>
        <v>54767414MMY3004-KOR--Approval-27 Sep 2016 (v1.0)</v>
      </c>
      <c r="G851" s="8" t="s">
        <v>1005</v>
      </c>
      <c r="H851" s="9" t="str">
        <f aca="false">HYPERLINK("https://vtmf.veevavault.com/ui/#doc_info/7290881/1/0", "VTMF-3487957")</f>
        <v>VTMF-3487957</v>
      </c>
    </row>
    <row r="852" customFormat="false" ht="14.25" hidden="false" customHeight="true" outlineLevel="0" collapsed="false">
      <c r="E852" s="8" t="s">
        <v>132</v>
      </c>
      <c r="F852" s="9" t="str">
        <f aca="false">HYPERLINK("https://vtmf.veevavault.com/ui/#doc_info/2546995/1/0", "54767414MMY3004-KOR--Approval-31 Mar 2015 (v1.0)")</f>
        <v>54767414MMY3004-KOR--Approval-31 Mar 2015 (v1.0)</v>
      </c>
      <c r="G852" s="8" t="s">
        <v>1006</v>
      </c>
      <c r="H852" s="9" t="str">
        <f aca="false">HYPERLINK("https://vtmf.veevavault.com/ui/#doc_info/2546995/1/0", "EDMS-GCO-92443222")</f>
        <v>EDMS-GCO-92443222</v>
      </c>
    </row>
    <row r="853" customFormat="false" ht="14.25" hidden="false" customHeight="true" outlineLevel="0" collapsed="false">
      <c r="E853" s="8" t="s">
        <v>132</v>
      </c>
      <c r="F853" s="9" t="str">
        <f aca="false">HYPERLINK("https://vtmf.veevavault.com/ui/#doc_info/8839323/1/0", "54767414MMY3011-KOR--Approval-12 Oct 2017 (v1.0)")</f>
        <v>54767414MMY3011-KOR--Approval-12 Oct 2017 (v1.0)</v>
      </c>
      <c r="G853" s="8" t="s">
        <v>1007</v>
      </c>
      <c r="H853" s="9" t="str">
        <f aca="false">HYPERLINK("https://vtmf.veevavault.com/ui/#doc_info/8839323/1/0", "VTMF-4954801")</f>
        <v>VTMF-4954801</v>
      </c>
    </row>
    <row r="854" customFormat="false" ht="14.25" hidden="false" customHeight="true" outlineLevel="0" collapsed="false">
      <c r="E854" s="8" t="s">
        <v>132</v>
      </c>
      <c r="F854" s="9" t="str">
        <f aca="false">HYPERLINK("https://vtmf.veevavault.com/ui/#doc_info/8839326/1/0", "54767414MMY3011-KOR--Approval-12 Oct 2017 (v1.0)")</f>
        <v>54767414MMY3011-KOR--Approval-12 Oct 2017 (v1.0)</v>
      </c>
      <c r="G854" s="8" t="s">
        <v>1008</v>
      </c>
      <c r="H854" s="9" t="str">
        <f aca="false">HYPERLINK("https://vtmf.veevavault.com/ui/#doc_info/8839326/1/0", "VTMF-4954804")</f>
        <v>VTMF-4954804</v>
      </c>
    </row>
    <row r="855" customFormat="false" ht="14.25" hidden="false" customHeight="true" outlineLevel="0" collapsed="false">
      <c r="E855" s="8" t="s">
        <v>132</v>
      </c>
      <c r="F855" s="9" t="str">
        <f aca="false">HYPERLINK("https://vtmf.veevavault.com/ui/#doc_info/11349930/1/0", "54767414MMY3011-KOR--Approval-16 Apr 2018 (v1.0)")</f>
        <v>54767414MMY3011-KOR--Approval-16 Apr 2018 (v1.0)</v>
      </c>
      <c r="G855" s="8" t="s">
        <v>967</v>
      </c>
      <c r="H855" s="9" t="str">
        <f aca="false">HYPERLINK("https://vtmf.veevavault.com/ui/#doc_info/11349930/1/0", "VTMF-7294327")</f>
        <v>VTMF-7294327</v>
      </c>
    </row>
    <row r="856" customFormat="false" ht="14.25" hidden="false" customHeight="true" outlineLevel="0" collapsed="false">
      <c r="E856" s="8" t="s">
        <v>132</v>
      </c>
      <c r="F856" s="9" t="str">
        <f aca="false">HYPERLINK("https://vtmf.veevavault.com/ui/#doc_info/10261905/1/0", "54767414MMY3011-KOR--Approval-22 Jun 2018 (v1.0)")</f>
        <v>54767414MMY3011-KOR--Approval-22 Jun 2018 (v1.0)</v>
      </c>
      <c r="G856" s="8" t="s">
        <v>1009</v>
      </c>
      <c r="H856" s="9" t="str">
        <f aca="false">HYPERLINK("https://vtmf.veevavault.com/ui/#doc_info/10261905/1/0", "VTMF-6288787")</f>
        <v>VTMF-6288787</v>
      </c>
    </row>
    <row r="857" customFormat="false" ht="14.25" hidden="false" customHeight="true" outlineLevel="0" collapsed="false">
      <c r="E857" s="8" t="s">
        <v>132</v>
      </c>
      <c r="F857" s="9" t="str">
        <f aca="false">HYPERLINK("https://vtmf.veevavault.com/ui/#doc_info/10261906/1/0", "54767414MMY3011-KOR--Approval-22 Jun 2018 (v1.0)")</f>
        <v>54767414MMY3011-KOR--Approval-22 Jun 2018 (v1.0)</v>
      </c>
      <c r="G857" s="8" t="s">
        <v>1010</v>
      </c>
      <c r="H857" s="9" t="str">
        <f aca="false">HYPERLINK("https://vtmf.veevavault.com/ui/#doc_info/10261906/1/0", "VTMF-6288788")</f>
        <v>VTMF-6288788</v>
      </c>
    </row>
    <row r="858" customFormat="false" ht="14.25" hidden="false" customHeight="true" outlineLevel="0" collapsed="false">
      <c r="E858" s="8" t="s">
        <v>132</v>
      </c>
      <c r="F858" s="9" t="str">
        <f aca="false">HYPERLINK("https://vtmf.veevavault.com/ui/#doc_info/15026786/1/0", "54767414MMY3011-KOR--Approval-22 Oct 2020 (v1.0)")</f>
        <v>54767414MMY3011-KOR--Approval-22 Oct 2020 (v1.0)</v>
      </c>
      <c r="G858" s="8" t="s">
        <v>1011</v>
      </c>
      <c r="H858" s="9" t="str">
        <f aca="false">HYPERLINK("https://vtmf.veevavault.com/ui/#doc_info/15026786/1/0", "VTMF-10760402")</f>
        <v>VTMF-10760402</v>
      </c>
    </row>
    <row r="859" customFormat="false" ht="14.25" hidden="false" customHeight="true" outlineLevel="0" collapsed="false">
      <c r="E859" s="8" t="s">
        <v>132</v>
      </c>
      <c r="F859" s="9" t="str">
        <f aca="false">HYPERLINK("https://vtmf.veevavault.com/ui/#doc_info/10841533/1/0", "54767414MMY3011-KOR--Approval-28 Mar 2019 (v1.0)")</f>
        <v>54767414MMY3011-KOR--Approval-28 Mar 2019 (v1.0)</v>
      </c>
      <c r="G859" s="8" t="s">
        <v>1012</v>
      </c>
      <c r="H859" s="9" t="str">
        <f aca="false">HYPERLINK("https://vtmf.veevavault.com/ui/#doc_info/10841533/1/0", "VTMF-6825085")</f>
        <v>VTMF-6825085</v>
      </c>
    </row>
    <row r="860" customFormat="false" ht="14.25" hidden="false" customHeight="true" outlineLevel="0" collapsed="false">
      <c r="E860" s="8" t="s">
        <v>132</v>
      </c>
      <c r="F860" s="9" t="str">
        <f aca="false">HYPERLINK("https://vtmf.veevavault.com/ui/#doc_info/11321968/1/0", "54767414MMY3011-KOR--Approval-28 Mar 2019 (v1.0)")</f>
        <v>54767414MMY3011-KOR--Approval-28 Mar 2019 (v1.0)</v>
      </c>
      <c r="G860" s="8" t="s">
        <v>1013</v>
      </c>
      <c r="H860" s="9" t="str">
        <f aca="false">HYPERLINK("https://vtmf.veevavault.com/ui/#doc_info/11321968/1/0", "VTMF-7268504")</f>
        <v>VTMF-7268504</v>
      </c>
    </row>
    <row r="861" customFormat="false" ht="14.25" hidden="false" customHeight="true" outlineLevel="0" collapsed="false">
      <c r="E861" s="8" t="s">
        <v>132</v>
      </c>
      <c r="F861" s="9" t="str">
        <f aca="false">HYPERLINK("https://vtmf.veevavault.com/ui/#doc_info/11321969/1/0", "54767414MMY3011-KOR--Approval-29 Jul 2019 (v1.0)")</f>
        <v>54767414MMY3011-KOR--Approval-29 Jul 2019 (v1.0)</v>
      </c>
      <c r="G861" s="8" t="s">
        <v>1014</v>
      </c>
      <c r="H861" s="9" t="str">
        <f aca="false">HYPERLINK("https://vtmf.veevavault.com/ui/#doc_info/11321969/1/0", "VTMF-7268505")</f>
        <v>VTMF-7268505</v>
      </c>
    </row>
    <row r="862" customFormat="false" ht="14.25" hidden="false" customHeight="true" outlineLevel="0" collapsed="false">
      <c r="E862" s="8" t="s">
        <v>132</v>
      </c>
      <c r="F862" s="9" t="str">
        <f aca="false">HYPERLINK("https://vtmf.veevavault.com/ui/#doc_info/9063311/1/0", "54767414MMY3012-KOR--Approval-01 Dec 2017 (v1.0)")</f>
        <v>54767414MMY3012-KOR--Approval-01 Dec 2017 (v1.0)</v>
      </c>
      <c r="G862" s="8" t="s">
        <v>1015</v>
      </c>
      <c r="H862" s="9" t="str">
        <f aca="false">HYPERLINK("https://vtmf.veevavault.com/ui/#doc_info/9063311/1/0", "VTMF-5167507")</f>
        <v>VTMF-5167507</v>
      </c>
    </row>
    <row r="863" customFormat="false" ht="14.25" hidden="false" customHeight="true" outlineLevel="0" collapsed="false">
      <c r="E863" s="8" t="s">
        <v>132</v>
      </c>
      <c r="F863" s="9" t="str">
        <f aca="false">HYPERLINK("https://vtmf.veevavault.com/ui/#doc_info/12569225/1/0", "54767414MMY3012-KOR--Approval-03 Apr 2020 (v1.0)")</f>
        <v>54767414MMY3012-KOR--Approval-03 Apr 2020 (v1.0)</v>
      </c>
      <c r="G863" s="8" t="s">
        <v>1016</v>
      </c>
      <c r="H863" s="9" t="str">
        <f aca="false">HYPERLINK("https://vtmf.veevavault.com/ui/#doc_info/12569225/1/0", "VTMF-8416285")</f>
        <v>VTMF-8416285</v>
      </c>
    </row>
    <row r="864" customFormat="false" ht="14.25" hidden="false" customHeight="true" outlineLevel="0" collapsed="false">
      <c r="E864" s="8" t="s">
        <v>132</v>
      </c>
      <c r="F864" s="9" t="str">
        <f aca="false">HYPERLINK("https://vtmf.veevavault.com/ui/#doc_info/10151265/1/0", "54767414MMY3012-KOR--Approval-06 Mar 2018 (v1.0)")</f>
        <v>54767414MMY3012-KOR--Approval-06 Mar 2018 (v1.0)</v>
      </c>
      <c r="G864" s="8" t="s">
        <v>1017</v>
      </c>
      <c r="H864" s="9" t="str">
        <f aca="false">HYPERLINK("https://vtmf.veevavault.com/ui/#doc_info/10151265/1/0", "VTMF-6186091")</f>
        <v>VTMF-6186091</v>
      </c>
    </row>
    <row r="865" customFormat="false" ht="14.25" hidden="false" customHeight="true" outlineLevel="0" collapsed="false">
      <c r="E865" s="8" t="s">
        <v>132</v>
      </c>
      <c r="F865" s="9" t="str">
        <f aca="false">HYPERLINK("https://vtmf.veevavault.com/ui/#doc_info/10151277/1/0", "54767414MMY3012-KOR--Approval-16 Apr 2018 (v1.0)")</f>
        <v>54767414MMY3012-KOR--Approval-16 Apr 2018 (v1.0)</v>
      </c>
      <c r="G865" s="8" t="s">
        <v>1018</v>
      </c>
      <c r="H865" s="9" t="str">
        <f aca="false">HYPERLINK("https://vtmf.veevavault.com/ui/#doc_info/10151277/1/0", "VTMF-6186101")</f>
        <v>VTMF-6186101</v>
      </c>
    </row>
    <row r="866" customFormat="false" ht="14.25" hidden="false" customHeight="true" outlineLevel="0" collapsed="false">
      <c r="E866" s="8" t="s">
        <v>132</v>
      </c>
      <c r="F866" s="9" t="str">
        <f aca="false">HYPERLINK("https://vtmf.veevavault.com/ui/#doc_info/10151262/1/0", "54767414MMY3012-KOR--Approval-20 Oct 2017 (v1.0)")</f>
        <v>54767414MMY3012-KOR--Approval-20 Oct 2017 (v1.0)</v>
      </c>
      <c r="G866" s="8" t="s">
        <v>1019</v>
      </c>
      <c r="H866" s="9" t="str">
        <f aca="false">HYPERLINK("https://vtmf.veevavault.com/ui/#doc_info/10151262/1/0", "VTMF-6186090")</f>
        <v>VTMF-6186090</v>
      </c>
    </row>
    <row r="867" customFormat="false" ht="14.25" hidden="false" customHeight="true" outlineLevel="0" collapsed="false">
      <c r="E867" s="8" t="s">
        <v>132</v>
      </c>
      <c r="F867" s="9" t="str">
        <f aca="false">HYPERLINK("https://vtmf.veevavault.com/ui/#doc_info/13012115/1/0", "54767414MMY3012-KOR--Approval-25 May 2020 (v1.0)")</f>
        <v>54767414MMY3012-KOR--Approval-25 May 2020 (v1.0)</v>
      </c>
      <c r="G867" s="8" t="s">
        <v>1020</v>
      </c>
      <c r="H867" s="9" t="str">
        <f aca="false">HYPERLINK("https://vtmf.veevavault.com/ui/#doc_info/13012115/1/0", "VTMF-8833663")</f>
        <v>VTMF-8833663</v>
      </c>
    </row>
    <row r="868" customFormat="false" ht="14.25" hidden="false" customHeight="true" outlineLevel="0" collapsed="false">
      <c r="E868" s="8" t="s">
        <v>132</v>
      </c>
      <c r="F868" s="9" t="str">
        <f aca="false">HYPERLINK("https://vtmf.veevavault.com/ui/#doc_info/11814021/1/0", "54767414MMY3012-KOR--Approval-25 Nov 2019 (v1.0)")</f>
        <v>54767414MMY3012-KOR--Approval-25 Nov 2019 (v1.0)</v>
      </c>
      <c r="G868" s="8" t="s">
        <v>970</v>
      </c>
      <c r="H868" s="9" t="str">
        <f aca="false">HYPERLINK("https://vtmf.veevavault.com/ui/#doc_info/11814021/1/0", "VTMF-7717996")</f>
        <v>VTMF-7717996</v>
      </c>
    </row>
    <row r="869" customFormat="false" ht="14.25" hidden="false" customHeight="true" outlineLevel="0" collapsed="false">
      <c r="E869" s="8" t="s">
        <v>132</v>
      </c>
      <c r="F869" s="9" t="str">
        <f aca="false">HYPERLINK("https://vtmf.veevavault.com/ui/#doc_info/10179848/2/0", "54767414MMY3012-KOR--Approval-26 Oct 2018 (v2.0)")</f>
        <v>54767414MMY3012-KOR--Approval-26 Oct 2018 (v2.0)</v>
      </c>
      <c r="G869" s="8" t="s">
        <v>1021</v>
      </c>
      <c r="H869" s="9" t="str">
        <f aca="false">HYPERLINK("https://vtmf.veevavault.com/ui/#doc_info/10179848/2/0", "VTMF-6212434")</f>
        <v>VTMF-6212434</v>
      </c>
    </row>
    <row r="870" customFormat="false" ht="14.25" hidden="false" customHeight="true" outlineLevel="0" collapsed="false">
      <c r="E870" s="8" t="s">
        <v>132</v>
      </c>
      <c r="F870" s="9" t="str">
        <f aca="false">HYPERLINK("https://vtmf.veevavault.com/ui/#doc_info/10179867/2/0", "54767414MMY3012-KOR--Approval-29 Oct 2018 (v2.0)")</f>
        <v>54767414MMY3012-KOR--Approval-29 Oct 2018 (v2.0)</v>
      </c>
      <c r="G870" s="8" t="s">
        <v>1022</v>
      </c>
      <c r="H870" s="9" t="str">
        <f aca="false">HYPERLINK("https://vtmf.veevavault.com/ui/#doc_info/10179867/2/0", "VTMF-6212447")</f>
        <v>VTMF-6212447</v>
      </c>
    </row>
    <row r="871" customFormat="false" ht="14.25" hidden="false" customHeight="true" outlineLevel="0" collapsed="false">
      <c r="E871" s="8" t="s">
        <v>132</v>
      </c>
      <c r="F871" s="9" t="str">
        <f aca="false">HYPERLINK("https://vtmf.veevavault.com/ui/#doc_info/11451949/1/0", "54767414MMY3012-KOR--Approval-30 Aug 2019 (v1.0)")</f>
        <v>54767414MMY3012-KOR--Approval-30 Aug 2019 (v1.0)</v>
      </c>
      <c r="G871" s="8" t="s">
        <v>1023</v>
      </c>
      <c r="H871" s="9" t="str">
        <f aca="false">HYPERLINK("https://vtmf.veevavault.com/ui/#doc_info/11451949/1/0", "VTMF-7387158")</f>
        <v>VTMF-7387158</v>
      </c>
    </row>
    <row r="872" customFormat="false" ht="14.25" hidden="false" customHeight="true" outlineLevel="0" collapsed="false">
      <c r="E872" s="8" t="s">
        <v>132</v>
      </c>
      <c r="F872" s="9" t="str">
        <f aca="false">HYPERLINK("https://vtmf.veevavault.com/ui/#doc_info/10151280/1/0", "54767414MMY3012-KOR--Approval-30 Jul 2018 (v1.0)")</f>
        <v>54767414MMY3012-KOR--Approval-30 Jul 2018 (v1.0)</v>
      </c>
      <c r="G872" s="8" t="s">
        <v>1024</v>
      </c>
      <c r="H872" s="9" t="str">
        <f aca="false">HYPERLINK("https://vtmf.veevavault.com/ui/#doc_info/10151280/1/0", "VTMF-6186104")</f>
        <v>VTMF-6186104</v>
      </c>
    </row>
    <row r="873" customFormat="false" ht="14.25" hidden="false" customHeight="true" outlineLevel="0" collapsed="false">
      <c r="E873" s="8" t="s">
        <v>132</v>
      </c>
      <c r="F873" s="9" t="str">
        <f aca="false">HYPERLINK("https://vtmf.veevavault.com/ui/#doc_info/23923723/1/0", "54767414MMY3030-KOR--Approval-10 Apr 2023 (v1.0)")</f>
        <v>54767414MMY3030-KOR--Approval-10 Apr 2023 (v1.0)</v>
      </c>
      <c r="G873" s="8" t="s">
        <v>1025</v>
      </c>
      <c r="H873" s="9" t="str">
        <f aca="false">HYPERLINK("https://vtmf.veevavault.com/ui/#doc_info/23923723/1/0", "VTMF-18960830")</f>
        <v>VTMF-18960830</v>
      </c>
    </row>
    <row r="874" customFormat="false" ht="14.25" hidden="false" customHeight="true" outlineLevel="0" collapsed="false">
      <c r="E874" s="8" t="s">
        <v>132</v>
      </c>
      <c r="F874" s="9" t="str">
        <f aca="false">HYPERLINK("https://vtmf.veevavault.com/ui/#doc_info/23923724/1/0", "54767414MMY3030-KOR--Approval-10 Apr 2023 (v1.0)")</f>
        <v>54767414MMY3030-KOR--Approval-10 Apr 2023 (v1.0)</v>
      </c>
      <c r="G874" s="8" t="s">
        <v>1026</v>
      </c>
      <c r="H874" s="9" t="str">
        <f aca="false">HYPERLINK("https://vtmf.veevavault.com/ui/#doc_info/23923724/1/0", "VTMF-18960831")</f>
        <v>VTMF-18960831</v>
      </c>
    </row>
    <row r="875" customFormat="false" ht="14.25" hidden="false" customHeight="true" outlineLevel="0" collapsed="false">
      <c r="E875" s="8" t="s">
        <v>132</v>
      </c>
      <c r="F875" s="9" t="str">
        <f aca="false">HYPERLINK("https://vtmf.veevavault.com/ui/#doc_info/23923725/1/0", "54767414MMY3030-KOR--Approval-10 Apr 2023 (v1.0)")</f>
        <v>54767414MMY3030-KOR--Approval-10 Apr 2023 (v1.0)</v>
      </c>
      <c r="G875" s="8" t="s">
        <v>1027</v>
      </c>
      <c r="H875" s="9" t="str">
        <f aca="false">HYPERLINK("https://vtmf.veevavault.com/ui/#doc_info/23923725/1/0", "VTMF-18960832")</f>
        <v>VTMF-18960832</v>
      </c>
    </row>
    <row r="876" customFormat="false" ht="14.25" hidden="false" customHeight="true" outlineLevel="0" collapsed="false">
      <c r="E876" s="8" t="s">
        <v>132</v>
      </c>
      <c r="F876" s="9" t="str">
        <f aca="false">HYPERLINK("https://vtmf.veevavault.com/ui/#doc_info/24985060/1/0", "54767414MMY3030-KOR--Approval-17 Oct 2023 (v1.0)")</f>
        <v>54767414MMY3030-KOR--Approval-17 Oct 2023 (v1.0)</v>
      </c>
      <c r="G876" s="8" t="s">
        <v>1028</v>
      </c>
      <c r="H876" s="9" t="str">
        <f aca="false">HYPERLINK("https://vtmf.veevavault.com/ui/#doc_info/24985060/1/0", "VTMF-19890496")</f>
        <v>VTMF-19890496</v>
      </c>
    </row>
    <row r="877" customFormat="false" ht="14.25" hidden="false" customHeight="true" outlineLevel="0" collapsed="false">
      <c r="E877" s="8" t="s">
        <v>132</v>
      </c>
      <c r="F877" s="9" t="str">
        <f aca="false">HYPERLINK("https://vtmf.veevavault.com/ui/#doc_info/25057707/1/0", "54767414MMY3030-KOR--Approval-17 Oct 2023 (v1.0)")</f>
        <v>54767414MMY3030-KOR--Approval-17 Oct 2023 (v1.0)</v>
      </c>
      <c r="G877" s="8" t="s">
        <v>1029</v>
      </c>
      <c r="H877" s="9" t="str">
        <f aca="false">HYPERLINK("https://vtmf.veevavault.com/ui/#doc_info/25057707/1/0", "VTMF-19954440")</f>
        <v>VTMF-19954440</v>
      </c>
    </row>
    <row r="878" customFormat="false" ht="14.25" hidden="false" customHeight="true" outlineLevel="0" collapsed="false">
      <c r="E878" s="8" t="s">
        <v>132</v>
      </c>
      <c r="F878" s="9" t="str">
        <f aca="false">HYPERLINK("https://vtmf.veevavault.com/ui/#doc_info/25057708/1/0", "54767414MMY3030-KOR--Approval-17 Oct 2023 (v1.0)")</f>
        <v>54767414MMY3030-KOR--Approval-17 Oct 2023 (v1.0)</v>
      </c>
      <c r="G878" s="8" t="s">
        <v>1030</v>
      </c>
      <c r="H878" s="9" t="str">
        <f aca="false">HYPERLINK("https://vtmf.veevavault.com/ui/#doc_info/25057708/1/0", "VTMF-19954441")</f>
        <v>VTMF-19954441</v>
      </c>
    </row>
    <row r="879" customFormat="false" ht="14.25" hidden="false" customHeight="true" outlineLevel="0" collapsed="false">
      <c r="E879" s="8" t="s">
        <v>132</v>
      </c>
      <c r="F879" s="9" t="str">
        <f aca="false">HYPERLINK("https://vtmf.veevavault.com/ui/#doc_info/22458964/1/0", "54767414MMY3030-KOR--Approval-26 Aug 2022 (v1.0)")</f>
        <v>54767414MMY3030-KOR--Approval-26 Aug 2022 (v1.0)</v>
      </c>
      <c r="G879" s="8" t="s">
        <v>1031</v>
      </c>
      <c r="H879" s="9" t="str">
        <f aca="false">HYPERLINK("https://vtmf.veevavault.com/ui/#doc_info/22458964/1/0", "VTMF-17692310")</f>
        <v>VTMF-17692310</v>
      </c>
    </row>
    <row r="880" customFormat="false" ht="14.25" hidden="false" customHeight="true" outlineLevel="0" collapsed="false">
      <c r="E880" s="8" t="s">
        <v>132</v>
      </c>
      <c r="F880" s="9" t="str">
        <f aca="false">HYPERLINK("https://vtmf.veevavault.com/ui/#doc_info/22494954/1/0", "54767414MMY3030-KOR--Approval-26 Aug 2022 (v1.0)")</f>
        <v>54767414MMY3030-KOR--Approval-26 Aug 2022 (v1.0)</v>
      </c>
      <c r="G880" s="8" t="s">
        <v>1032</v>
      </c>
      <c r="H880" s="9" t="str">
        <f aca="false">HYPERLINK("https://vtmf.veevavault.com/ui/#doc_info/22494954/1/0", "VTMF-17723591")</f>
        <v>VTMF-17723591</v>
      </c>
    </row>
    <row r="881" customFormat="false" ht="14.25" hidden="false" customHeight="true" outlineLevel="0" collapsed="false">
      <c r="E881" s="8" t="s">
        <v>132</v>
      </c>
      <c r="F881" s="9" t="str">
        <f aca="false">HYPERLINK("https://vtmf.veevavault.com/ui/#doc_info/22494955/1/0", "54767414MMY3030-KOR--Approval-26 Aug 2022 (v1.0)")</f>
        <v>54767414MMY3030-KOR--Approval-26 Aug 2022 (v1.0)</v>
      </c>
      <c r="G881" s="8" t="s">
        <v>1033</v>
      </c>
      <c r="H881" s="9" t="str">
        <f aca="false">HYPERLINK("https://vtmf.veevavault.com/ui/#doc_info/22494955/1/0", "VTMF-17723592")</f>
        <v>VTMF-17723592</v>
      </c>
    </row>
    <row r="882" customFormat="false" ht="14.25" hidden="false" customHeight="true" outlineLevel="0" collapsed="false">
      <c r="E882" s="8" t="s">
        <v>132</v>
      </c>
      <c r="F882" s="9" t="str">
        <f aca="false">HYPERLINK("https://vtmf.veevavault.com/ui/#doc_info/7191268/0/1", "54767414NKT2001-KOR--Approval (v0.1)")</f>
        <v>54767414NKT2001-KOR--Approval (v0.1)</v>
      </c>
      <c r="G882" s="8"/>
      <c r="H882" s="9" t="str">
        <f aca="false">HYPERLINK("https://vtmf.veevavault.com/ui/#doc_info/7191268/0/1", "VTMF-3391514")</f>
        <v>VTMF-3391514</v>
      </c>
    </row>
    <row r="883" customFormat="false" ht="14.25" hidden="false" customHeight="true" outlineLevel="0" collapsed="false">
      <c r="E883" s="8" t="s">
        <v>132</v>
      </c>
      <c r="F883" s="9" t="str">
        <f aca="false">HYPERLINK("https://vtmf.veevavault.com/ui/#doc_info/10723497/1/0", "54767414NKT2001-KOR--Approval-01 Apr 2019 (v1.0)")</f>
        <v>54767414NKT2001-KOR--Approval-01 Apr 2019 (v1.0)</v>
      </c>
      <c r="G883" s="8" t="s">
        <v>1034</v>
      </c>
      <c r="H883" s="9" t="str">
        <f aca="false">HYPERLINK("https://vtmf.veevavault.com/ui/#doc_info/10723497/1/0", "VTMF-6712615")</f>
        <v>VTMF-6712615</v>
      </c>
    </row>
    <row r="884" customFormat="false" ht="14.25" hidden="false" customHeight="true" outlineLevel="0" collapsed="false">
      <c r="E884" s="8" t="s">
        <v>132</v>
      </c>
      <c r="F884" s="9" t="str">
        <f aca="false">HYPERLINK("https://vtmf.veevavault.com/ui/#doc_info/10666482/1/0", "54767414NKT2001-KOR--Approval-07 Nov 2018 (v1.0)")</f>
        <v>54767414NKT2001-KOR--Approval-07 Nov 2018 (v1.0)</v>
      </c>
      <c r="G884" s="8" t="s">
        <v>1035</v>
      </c>
      <c r="H884" s="9" t="str">
        <f aca="false">HYPERLINK("https://vtmf.veevavault.com/ui/#doc_info/10666482/1/0", "VTMF-6660241")</f>
        <v>VTMF-6660241</v>
      </c>
    </row>
    <row r="885" customFormat="false" ht="14.25" hidden="false" customHeight="true" outlineLevel="0" collapsed="false">
      <c r="E885" s="8" t="s">
        <v>132</v>
      </c>
      <c r="F885" s="9" t="str">
        <f aca="false">HYPERLINK("https://vtmf.veevavault.com/ui/#doc_info/11993773/1/0", "54767414NKT2001-KOR--Approval-11 Dec 2019 (v1.0)")</f>
        <v>54767414NKT2001-KOR--Approval-11 Dec 2019 (v1.0)</v>
      </c>
      <c r="G885" s="8" t="s">
        <v>1036</v>
      </c>
      <c r="H885" s="9" t="str">
        <f aca="false">HYPERLINK("https://vtmf.veevavault.com/ui/#doc_info/11993773/1/0", "VTMF-7883470")</f>
        <v>VTMF-7883470</v>
      </c>
    </row>
    <row r="886" customFormat="false" ht="14.25" hidden="false" customHeight="true" outlineLevel="0" collapsed="false">
      <c r="E886" s="8" t="s">
        <v>132</v>
      </c>
      <c r="F886" s="9" t="str">
        <f aca="false">HYPERLINK("https://vtmf.veevavault.com/ui/#doc_info/8748979/1/0", "54767414NKT2001-KOR--Approval-15 Sep 2017 (v1.0)")</f>
        <v>54767414NKT2001-KOR--Approval-15 Sep 2017 (v1.0)</v>
      </c>
      <c r="G886" s="8" t="s">
        <v>1037</v>
      </c>
      <c r="H886" s="9" t="str">
        <f aca="false">HYPERLINK("https://vtmf.veevavault.com/ui/#doc_info/8748979/1/0", "VTMF-4869229")</f>
        <v>VTMF-4869229</v>
      </c>
    </row>
    <row r="887" customFormat="false" ht="14.25" hidden="false" customHeight="true" outlineLevel="0" collapsed="false">
      <c r="E887" s="8" t="s">
        <v>132</v>
      </c>
      <c r="F887" s="9" t="str">
        <f aca="false">HYPERLINK("https://vtmf.veevavault.com/ui/#doc_info/7558412/1/0", "54767414NKT2001-KOR--Approval-16 Nov 2016 (v1.0)")</f>
        <v>54767414NKT2001-KOR--Approval-16 Nov 2016 (v1.0)</v>
      </c>
      <c r="G887" s="8" t="s">
        <v>1038</v>
      </c>
      <c r="H887" s="9" t="str">
        <f aca="false">HYPERLINK("https://vtmf.veevavault.com/ui/#doc_info/7558412/1/0", "VTMF-3741612")</f>
        <v>VTMF-3741612</v>
      </c>
    </row>
    <row r="888" customFormat="false" ht="14.25" hidden="false" customHeight="true" outlineLevel="0" collapsed="false">
      <c r="E888" s="8" t="s">
        <v>132</v>
      </c>
      <c r="F888" s="9" t="str">
        <f aca="false">HYPERLINK("https://vtmf.veevavault.com/ui/#doc_info/9426297/1/0", "54767414NKT2001-KOR--Approval-23 May 2017 (v1.0)")</f>
        <v>54767414NKT2001-KOR--Approval-23 May 2017 (v1.0)</v>
      </c>
      <c r="G888" s="8" t="s">
        <v>1039</v>
      </c>
      <c r="H888" s="9" t="str">
        <f aca="false">HYPERLINK("https://vtmf.veevavault.com/ui/#doc_info/9426297/1/0", "VTMF-5510110")</f>
        <v>VTMF-5510110</v>
      </c>
    </row>
    <row r="889" customFormat="false" ht="14.25" hidden="false" customHeight="true" outlineLevel="0" collapsed="false">
      <c r="E889" s="8" t="s">
        <v>132</v>
      </c>
      <c r="F889" s="9" t="str">
        <f aca="false">HYPERLINK("https://vtmf.veevavault.com/ui/#doc_info/8770620/1/0", "56021927PCR3002-KOR--Approval-03 Aug 2017 (v1.0)")</f>
        <v>56021927PCR3002-KOR--Approval-03 Aug 2017 (v1.0)</v>
      </c>
      <c r="G889" s="8" t="s">
        <v>1040</v>
      </c>
      <c r="H889" s="9" t="str">
        <f aca="false">HYPERLINK("https://vtmf.veevavault.com/ui/#doc_info/8770620/1/0", "VTMF-4889677")</f>
        <v>VTMF-4889677</v>
      </c>
    </row>
    <row r="890" customFormat="false" ht="14.25" hidden="false" customHeight="true" outlineLevel="0" collapsed="false">
      <c r="E890" s="8" t="s">
        <v>132</v>
      </c>
      <c r="F890" s="9" t="str">
        <f aca="false">HYPERLINK("https://vtmf.veevavault.com/ui/#doc_info/5833806/1/0", "56021927PCR3002-KOR--Approval-03 Feb 2016 (v1.0)")</f>
        <v>56021927PCR3002-KOR--Approval-03 Feb 2016 (v1.0)</v>
      </c>
      <c r="G890" s="8" t="s">
        <v>1041</v>
      </c>
      <c r="H890" s="9" t="str">
        <f aca="false">HYPERLINK("https://vtmf.veevavault.com/ui/#doc_info/5833806/1/0", "VTMF-2062801")</f>
        <v>VTMF-2062801</v>
      </c>
    </row>
    <row r="891" customFormat="false" ht="14.25" hidden="false" customHeight="true" outlineLevel="0" collapsed="false">
      <c r="E891" s="8" t="s">
        <v>132</v>
      </c>
      <c r="F891" s="9" t="str">
        <f aca="false">HYPERLINK("https://vtmf.veevavault.com/ui/#doc_info/10235394/1/0", "56021927PCR3002-KOR--Approval-12 Nov 2018 (v1.0)")</f>
        <v>56021927PCR3002-KOR--Approval-12 Nov 2018 (v1.0)</v>
      </c>
      <c r="G891" s="8" t="s">
        <v>1042</v>
      </c>
      <c r="H891" s="9" t="str">
        <f aca="false">HYPERLINK("https://vtmf.veevavault.com/ui/#doc_info/10235394/1/0", "VTMF-6263930")</f>
        <v>VTMF-6263930</v>
      </c>
    </row>
    <row r="892" customFormat="false" ht="14.25" hidden="false" customHeight="true" outlineLevel="0" collapsed="false">
      <c r="E892" s="8" t="s">
        <v>132</v>
      </c>
      <c r="F892" s="9" t="str">
        <f aca="false">HYPERLINK("https://vtmf.veevavault.com/ui/#doc_info/8790063/1/0", "56021927PCR3002-KOR--Approval-18 Apr 2017 (v1.0)")</f>
        <v>56021927PCR3002-KOR--Approval-18 Apr 2017 (v1.0)</v>
      </c>
      <c r="G892" s="8" t="s">
        <v>1043</v>
      </c>
      <c r="H892" s="9" t="str">
        <f aca="false">HYPERLINK("https://vtmf.veevavault.com/ui/#doc_info/8790063/1/0", "VTMF-4908140")</f>
        <v>VTMF-4908140</v>
      </c>
    </row>
    <row r="893" customFormat="false" ht="14.25" hidden="false" customHeight="true" outlineLevel="0" collapsed="false">
      <c r="E893" s="8" t="s">
        <v>132</v>
      </c>
      <c r="F893" s="9" t="str">
        <f aca="false">HYPERLINK("https://vtmf.veevavault.com/ui/#doc_info/8790064/1/0", "56021927PCR3002-KOR--Approval-18 Apr 2017 (v1.0)")</f>
        <v>56021927PCR3002-KOR--Approval-18 Apr 2017 (v1.0)</v>
      </c>
      <c r="G893" s="8" t="s">
        <v>1044</v>
      </c>
      <c r="H893" s="9" t="str">
        <f aca="false">HYPERLINK("https://vtmf.veevavault.com/ui/#doc_info/8790064/1/0", "VTMF-4908141")</f>
        <v>VTMF-4908141</v>
      </c>
    </row>
    <row r="894" customFormat="false" ht="14.25" hidden="false" customHeight="true" outlineLevel="0" collapsed="false">
      <c r="E894" s="8" t="s">
        <v>132</v>
      </c>
      <c r="F894" s="9" t="str">
        <f aca="false">HYPERLINK("https://vtmf.veevavault.com/ui/#doc_info/7287096/1/0", "56021927PCR3002-KOR--Approval-18 Jul 2016 (v1.0)")</f>
        <v>56021927PCR3002-KOR--Approval-18 Jul 2016 (v1.0)</v>
      </c>
      <c r="G894" s="8" t="s">
        <v>1045</v>
      </c>
      <c r="H894" s="9" t="str">
        <f aca="false">HYPERLINK("https://vtmf.veevavault.com/ui/#doc_info/7287096/1/0", "VTMF-3484295")</f>
        <v>VTMF-3484295</v>
      </c>
    </row>
    <row r="895" customFormat="false" ht="14.25" hidden="false" customHeight="true" outlineLevel="0" collapsed="false">
      <c r="E895" s="8" t="s">
        <v>132</v>
      </c>
      <c r="F895" s="9" t="str">
        <f aca="false">HYPERLINK("https://vtmf.veevavault.com/ui/#doc_info/7287097/1/0", "56021927PCR3002-KOR--Approval-18 Jul 2019 (v1.0)")</f>
        <v>56021927PCR3002-KOR--Approval-18 Jul 2019 (v1.0)</v>
      </c>
      <c r="G895" s="8" t="s">
        <v>1046</v>
      </c>
      <c r="H895" s="9" t="str">
        <f aca="false">HYPERLINK("https://vtmf.veevavault.com/ui/#doc_info/7287097/1/0", "VTMF-3484296")</f>
        <v>VTMF-3484296</v>
      </c>
    </row>
    <row r="896" customFormat="false" ht="14.25" hidden="false" customHeight="true" outlineLevel="0" collapsed="false">
      <c r="E896" s="8" t="s">
        <v>132</v>
      </c>
      <c r="F896" s="9" t="str">
        <f aca="false">HYPERLINK("https://vtmf.veevavault.com/ui/#doc_info/9901230/1/0", "56021927PCR3002-KOR--Approval-23 Apr 2018 (v1.0)")</f>
        <v>56021927PCR3002-KOR--Approval-23 Apr 2018 (v1.0)</v>
      </c>
      <c r="G896" s="8" t="s">
        <v>1047</v>
      </c>
      <c r="H896" s="9" t="str">
        <f aca="false">HYPERLINK("https://vtmf.veevavault.com/ui/#doc_info/9901230/1/0", "VTMF-5954106")</f>
        <v>VTMF-5954106</v>
      </c>
    </row>
    <row r="897" customFormat="false" ht="14.25" hidden="false" customHeight="true" outlineLevel="0" collapsed="false">
      <c r="E897" s="8" t="s">
        <v>132</v>
      </c>
      <c r="F897" s="9" t="str">
        <f aca="false">HYPERLINK("https://vtmf.veevavault.com/ui/#doc_info/13328680/1/0", "56021927PCR3002-KOR--Approval-23 Jul 2020 (v1.0)")</f>
        <v>56021927PCR3002-KOR--Approval-23 Jul 2020 (v1.0)</v>
      </c>
      <c r="G897" s="8" t="s">
        <v>1048</v>
      </c>
      <c r="H897" s="9" t="str">
        <f aca="false">HYPERLINK("https://vtmf.veevavault.com/ui/#doc_info/13328680/1/0", "VTMF-9117208")</f>
        <v>VTMF-9117208</v>
      </c>
    </row>
    <row r="898" customFormat="false" ht="14.25" hidden="false" customHeight="true" outlineLevel="0" collapsed="false">
      <c r="E898" s="8" t="s">
        <v>132</v>
      </c>
      <c r="F898" s="9" t="str">
        <f aca="false">HYPERLINK("https://vtmf.veevavault.com/ui/#doc_info/9901231/1/0", "56021927PCR3002-KOR--Approval-25 May 2018 (v1.0)")</f>
        <v>56021927PCR3002-KOR--Approval-25 May 2018 (v1.0)</v>
      </c>
      <c r="G898" s="8" t="s">
        <v>1049</v>
      </c>
      <c r="H898" s="9" t="str">
        <f aca="false">HYPERLINK("https://vtmf.veevavault.com/ui/#doc_info/9901231/1/0", "VTMF-5954107")</f>
        <v>VTMF-5954107</v>
      </c>
    </row>
    <row r="899" customFormat="false" ht="14.25" hidden="false" customHeight="true" outlineLevel="0" collapsed="false">
      <c r="E899" s="8" t="s">
        <v>132</v>
      </c>
      <c r="F899" s="9" t="str">
        <f aca="false">HYPERLINK("https://vtmf.veevavault.com/ui/#doc_info/14940151/1/0", "56021927PCR3003-KOR--Approval-03 Aug 2017 (v1.0)")</f>
        <v>56021927PCR3003-KOR--Approval-03 Aug 2017 (v1.0)</v>
      </c>
      <c r="G899" s="8" t="s">
        <v>1050</v>
      </c>
      <c r="H899" s="9" t="str">
        <f aca="false">HYPERLINK("https://vtmf.veevavault.com/ui/#doc_info/14940151/1/0", "VTMF-10681281")</f>
        <v>VTMF-10681281</v>
      </c>
    </row>
    <row r="900" customFormat="false" ht="14.25" hidden="false" customHeight="true" outlineLevel="0" collapsed="false">
      <c r="E900" s="8" t="s">
        <v>132</v>
      </c>
      <c r="F900" s="9" t="str">
        <f aca="false">HYPERLINK("https://vtmf.veevavault.com/ui/#doc_info/9860196/1/0", "56021927PCR3003-KOR--Approval-03 Jul 2018 (v1.0)")</f>
        <v>56021927PCR3003-KOR--Approval-03 Jul 2018 (v1.0)</v>
      </c>
      <c r="G900" s="8" t="s">
        <v>1051</v>
      </c>
      <c r="H900" s="9" t="str">
        <f aca="false">HYPERLINK("https://vtmf.veevavault.com/ui/#doc_info/9860196/1/0", "VTMF-5916466")</f>
        <v>VTMF-5916466</v>
      </c>
    </row>
    <row r="901" customFormat="false" ht="14.25" hidden="false" customHeight="true" outlineLevel="0" collapsed="false">
      <c r="E901" s="8" t="s">
        <v>132</v>
      </c>
      <c r="F901" s="9" t="str">
        <f aca="false">HYPERLINK("https://vtmf.veevavault.com/ui/#doc_info/18446621/2/0", "56021927PCR3003-KOR--Approval-11 Mar 2021 (v2.0)")</f>
        <v>56021927PCR3003-KOR--Approval-11 Mar 2021 (v2.0)</v>
      </c>
      <c r="G901" s="8" t="s">
        <v>1052</v>
      </c>
      <c r="H901" s="9" t="str">
        <f aca="false">HYPERLINK("https://vtmf.veevavault.com/ui/#doc_info/18446621/2/0", "VTMF-14093257")</f>
        <v>VTMF-14093257</v>
      </c>
    </row>
    <row r="902" customFormat="false" ht="14.25" hidden="false" customHeight="true" outlineLevel="0" collapsed="false">
      <c r="E902" s="8" t="s">
        <v>132</v>
      </c>
      <c r="F902" s="9" t="str">
        <f aca="false">HYPERLINK("https://vtmf.veevavault.com/ui/#doc_info/6885764/1/0", "56021927PCR3003-KOR--Approval-15 Mar 2016 (v1.0)")</f>
        <v>56021927PCR3003-KOR--Approval-15 Mar 2016 (v1.0)</v>
      </c>
      <c r="G902" s="8" t="s">
        <v>1053</v>
      </c>
      <c r="H902" s="9" t="str">
        <f aca="false">HYPERLINK("https://vtmf.veevavault.com/ui/#doc_info/6885764/1/0", "VTMF-3097549")</f>
        <v>VTMF-3097549</v>
      </c>
    </row>
    <row r="903" customFormat="false" ht="14.25" hidden="false" customHeight="true" outlineLevel="0" collapsed="false">
      <c r="E903" s="8" t="s">
        <v>132</v>
      </c>
      <c r="F903" s="9" t="str">
        <f aca="false">HYPERLINK("https://vtmf.veevavault.com/ui/#doc_info/22227530/1/0", "56021927PCR3003-KOR--Approval-20 Jul 2022 (v1.0)")</f>
        <v>56021927PCR3003-KOR--Approval-20 Jul 2022 (v1.0)</v>
      </c>
      <c r="G903" s="8" t="s">
        <v>1054</v>
      </c>
      <c r="H903" s="9" t="str">
        <f aca="false">HYPERLINK("https://vtmf.veevavault.com/ui/#doc_info/22227530/1/0", "VTMF-17492332")</f>
        <v>VTMF-17492332</v>
      </c>
    </row>
    <row r="904" customFormat="false" ht="14.25" hidden="false" customHeight="true" outlineLevel="0" collapsed="false">
      <c r="E904" s="8" t="s">
        <v>132</v>
      </c>
      <c r="F904" s="9" t="str">
        <f aca="false">HYPERLINK("https://vtmf.veevavault.com/ui/#doc_info/9860158/1/0", "56021927PCR3003-KOR--Approval-23 Apr 2018 (v1.0)")</f>
        <v>56021927PCR3003-KOR--Approval-23 Apr 2018 (v1.0)</v>
      </c>
      <c r="G904" s="8" t="s">
        <v>1055</v>
      </c>
      <c r="H904" s="9" t="str">
        <f aca="false">HYPERLINK("https://vtmf.veevavault.com/ui/#doc_info/9860158/1/0", "VTMF-5916421")</f>
        <v>VTMF-5916421</v>
      </c>
    </row>
    <row r="905" customFormat="false" ht="14.25" hidden="false" customHeight="true" outlineLevel="0" collapsed="false">
      <c r="E905" s="8" t="s">
        <v>132</v>
      </c>
      <c r="F905" s="9" t="str">
        <f aca="false">HYPERLINK("https://vtmf.veevavault.com/ui/#doc_info/8790255/1/0", "56021927PCR3003-KOR--Approval-24 Apr 2017 (v1.0)")</f>
        <v>56021927PCR3003-KOR--Approval-24 Apr 2017 (v1.0)</v>
      </c>
      <c r="G905" s="8" t="s">
        <v>1056</v>
      </c>
      <c r="H905" s="9" t="str">
        <f aca="false">HYPERLINK("https://vtmf.veevavault.com/ui/#doc_info/8790255/1/0", "VTMF-4908325")</f>
        <v>VTMF-4908325</v>
      </c>
    </row>
    <row r="906" customFormat="false" ht="14.25" hidden="false" customHeight="true" outlineLevel="0" collapsed="false">
      <c r="E906" s="8" t="s">
        <v>132</v>
      </c>
      <c r="F906" s="9" t="str">
        <f aca="false">HYPERLINK("https://vtmf.veevavault.com/ui/#doc_info/8910875/1/0", "56021927PCR3003-KOR--Approval-29 Apr 2016 (v1.0)")</f>
        <v>56021927PCR3003-KOR--Approval-29 Apr 2016 (v1.0)</v>
      </c>
      <c r="G906" s="8" t="s">
        <v>1057</v>
      </c>
      <c r="H906" s="9" t="str">
        <f aca="false">HYPERLINK("https://vtmf.veevavault.com/ui/#doc_info/8910875/1/0", "VTMF-5022672")</f>
        <v>VTMF-5022672</v>
      </c>
    </row>
    <row r="907" customFormat="false" ht="14.25" hidden="false" customHeight="true" outlineLevel="0" collapsed="false">
      <c r="E907" s="8" t="s">
        <v>132</v>
      </c>
      <c r="F907" s="9" t="str">
        <f aca="false">HYPERLINK("https://vtmf.veevavault.com/ui/#doc_info/8355490/0/1", "56021927PCR3004-KOR--Approval (v0.1)")</f>
        <v>56021927PCR3004-KOR--Approval (v0.1)</v>
      </c>
      <c r="G907" s="8"/>
      <c r="H907" s="9" t="str">
        <f aca="false">HYPERLINK("https://vtmf.veevavault.com/ui/#doc_info/8355490/0/1", "VTMF-4500405")</f>
        <v>VTMF-4500405</v>
      </c>
    </row>
    <row r="908" customFormat="false" ht="14.25" hidden="false" customHeight="true" outlineLevel="0" collapsed="false">
      <c r="E908" s="8" t="s">
        <v>132</v>
      </c>
      <c r="F908" s="9" t="str">
        <f aca="false">HYPERLINK("https://vtmf.veevavault.com/ui/#doc_info/9867822/0/1", "56021927PCR3011-KOR--Approval- (v0.1)")</f>
        <v>56021927PCR3011-KOR--Approval- (v0.1)</v>
      </c>
      <c r="G908" s="8"/>
      <c r="H908" s="9" t="str">
        <f aca="false">HYPERLINK("https://vtmf.veevavault.com/ui/#doc_info/9867822/0/1", "VTMF-5923611")</f>
        <v>VTMF-5923611</v>
      </c>
    </row>
    <row r="909" customFormat="false" ht="14.25" hidden="false" customHeight="true" outlineLevel="0" collapsed="false">
      <c r="E909" s="8" t="s">
        <v>132</v>
      </c>
      <c r="F909" s="9" t="str">
        <f aca="false">HYPERLINK("https://vtmf.veevavault.com/ui/#doc_info/21368420/1/0", "56021927PCR3011-KOR--Approval-02 Mar 2022 (v1.0)")</f>
        <v>56021927PCR3011-KOR--Approval-02 Mar 2022 (v1.0)</v>
      </c>
      <c r="G909" s="8" t="s">
        <v>1058</v>
      </c>
      <c r="H909" s="9" t="str">
        <f aca="false">HYPERLINK("https://vtmf.veevavault.com/ui/#doc_info/21368420/1/0", "VTMF-16734480")</f>
        <v>VTMF-16734480</v>
      </c>
    </row>
    <row r="910" customFormat="false" ht="14.25" hidden="false" customHeight="true" outlineLevel="0" collapsed="false">
      <c r="E910" s="8" t="s">
        <v>132</v>
      </c>
      <c r="F910" s="9" t="str">
        <f aca="false">HYPERLINK("https://vtmf.veevavault.com/ui/#doc_info/19520213/1/0", "56021927PCR3011-KOR--Approval-07 May 2021 (v1.0)")</f>
        <v>56021927PCR3011-KOR--Approval-07 May 2021 (v1.0)</v>
      </c>
      <c r="G910" s="8" t="s">
        <v>1059</v>
      </c>
      <c r="H910" s="9" t="str">
        <f aca="false">HYPERLINK("https://vtmf.veevavault.com/ui/#doc_info/19520213/1/0", "VTMF-15101059")</f>
        <v>VTMF-15101059</v>
      </c>
    </row>
    <row r="911" customFormat="false" ht="14.25" hidden="false" customHeight="true" outlineLevel="0" collapsed="false">
      <c r="E911" s="8" t="s">
        <v>132</v>
      </c>
      <c r="F911" s="9" t="str">
        <f aca="false">HYPERLINK("https://vtmf.veevavault.com/ui/#doc_info/13272754/1/0", "56021927PCR3011-KOR--Approval-10 Jun 2020 (v1.0)")</f>
        <v>56021927PCR3011-KOR--Approval-10 Jun 2020 (v1.0)</v>
      </c>
      <c r="G911" s="8" t="s">
        <v>1060</v>
      </c>
      <c r="H911" s="9" t="str">
        <f aca="false">HYPERLINK("https://vtmf.veevavault.com/ui/#doc_info/13272754/1/0", "VTMF-9068242")</f>
        <v>VTMF-9068242</v>
      </c>
    </row>
    <row r="912" customFormat="false" ht="14.25" hidden="false" customHeight="true" outlineLevel="0" collapsed="false">
      <c r="E912" s="8" t="s">
        <v>132</v>
      </c>
      <c r="F912" s="9" t="str">
        <f aca="false">HYPERLINK("https://vtmf.veevavault.com/ui/#doc_info/11200928/1/0", "56021927PCR3011-KOR--Approval-13 Jun 2019 (v1.0)")</f>
        <v>56021927PCR3011-KOR--Approval-13 Jun 2019 (v1.0)</v>
      </c>
      <c r="G912" s="8" t="s">
        <v>1061</v>
      </c>
      <c r="H912" s="9" t="str">
        <f aca="false">HYPERLINK("https://vtmf.veevavault.com/ui/#doc_info/11200928/1/0", "VTMF-7157840")</f>
        <v>VTMF-7157840</v>
      </c>
    </row>
    <row r="913" customFormat="false" ht="14.25" hidden="false" customHeight="true" outlineLevel="0" collapsed="false">
      <c r="E913" s="8" t="s">
        <v>132</v>
      </c>
      <c r="F913" s="9" t="str">
        <f aca="false">HYPERLINK("https://vtmf.veevavault.com/ui/#doc_info/18392689/1/0", "56021927PCR3011-KOR--Approval-17 Feb 2021 (v1.0)")</f>
        <v>56021927PCR3011-KOR--Approval-17 Feb 2021 (v1.0)</v>
      </c>
      <c r="G913" s="8" t="s">
        <v>1062</v>
      </c>
      <c r="H913" s="9" t="str">
        <f aca="false">HYPERLINK("https://vtmf.veevavault.com/ui/#doc_info/18392689/1/0", "VTMF-14045647")</f>
        <v>VTMF-14045647</v>
      </c>
    </row>
    <row r="914" customFormat="false" ht="14.25" hidden="false" customHeight="true" outlineLevel="0" collapsed="false">
      <c r="E914" s="8" t="s">
        <v>132</v>
      </c>
      <c r="F914" s="9" t="str">
        <f aca="false">HYPERLINK("https://vtmf.veevavault.com/ui/#doc_info/11316951/1/0", "56021927PCR3011-KOR--Approval-17 Jun 2019 (v1.0)")</f>
        <v>56021927PCR3011-KOR--Approval-17 Jun 2019 (v1.0)</v>
      </c>
      <c r="G914" s="8" t="s">
        <v>1063</v>
      </c>
      <c r="H914" s="9" t="str">
        <f aca="false">HYPERLINK("https://vtmf.veevavault.com/ui/#doc_info/11316951/1/0", "VTMF-7263821")</f>
        <v>VTMF-7263821</v>
      </c>
    </row>
    <row r="915" customFormat="false" ht="14.25" hidden="false" customHeight="true" outlineLevel="0" collapsed="false">
      <c r="E915" s="8" t="s">
        <v>132</v>
      </c>
      <c r="F915" s="9" t="str">
        <f aca="false">HYPERLINK("https://vtmf.veevavault.com/ui/#doc_info/20088865/1/0", "56021927PCR3011-KOR--Approval-19 Aug 2021 (v1.0)")</f>
        <v>56021927PCR3011-KOR--Approval-19 Aug 2021 (v1.0)</v>
      </c>
      <c r="G915" s="8" t="s">
        <v>1064</v>
      </c>
      <c r="H915" s="9" t="str">
        <f aca="false">HYPERLINK("https://vtmf.veevavault.com/ui/#doc_info/20088865/1/0", "VTMF-15602382")</f>
        <v>VTMF-15602382</v>
      </c>
    </row>
    <row r="916" customFormat="false" ht="14.25" hidden="false" customHeight="true" outlineLevel="0" collapsed="false">
      <c r="E916" s="8" t="s">
        <v>132</v>
      </c>
      <c r="F916" s="9" t="str">
        <f aca="false">HYPERLINK("https://vtmf.veevavault.com/ui/#doc_info/10569710/2/0", "56021927PCR3011-KOR--Approval-25 Jan 2019 (v2.0)")</f>
        <v>56021927PCR3011-KOR--Approval-25 Jan 2019 (v2.0)</v>
      </c>
      <c r="G916" s="8" t="s">
        <v>1065</v>
      </c>
      <c r="H916" s="9" t="str">
        <f aca="false">HYPERLINK("https://vtmf.veevavault.com/ui/#doc_info/10569710/2/0", "VTMF-6570631")</f>
        <v>VTMF-6570631</v>
      </c>
    </row>
    <row r="917" customFormat="false" ht="14.25" hidden="false" customHeight="true" outlineLevel="0" collapsed="false">
      <c r="E917" s="8" t="s">
        <v>132</v>
      </c>
      <c r="F917" s="9" t="str">
        <f aca="false">HYPERLINK("https://vtmf.veevavault.com/ui/#doc_info/22369522/1/0", "56021927PCR3011-KOR--Approval-26 Jul 2022 (v1.0)")</f>
        <v>56021927PCR3011-KOR--Approval-26 Jul 2022 (v1.0)</v>
      </c>
      <c r="G917" s="8" t="s">
        <v>1066</v>
      </c>
      <c r="H917" s="9" t="str">
        <f aca="false">HYPERLINK("https://vtmf.veevavault.com/ui/#doc_info/22369522/1/0", "VTMF-17614780")</f>
        <v>VTMF-17614780</v>
      </c>
    </row>
    <row r="918" customFormat="false" ht="14.25" hidden="false" customHeight="true" outlineLevel="0" collapsed="false">
      <c r="E918" s="8" t="s">
        <v>132</v>
      </c>
      <c r="F918" s="9" t="str">
        <f aca="false">HYPERLINK("https://vtmf.veevavault.com/ui/#doc_info/6439349/0/1", "56022473AML2002-KOR--Approval (v0.1)")</f>
        <v>56022473AML2002-KOR--Approval (v0.1)</v>
      </c>
      <c r="G918" s="8"/>
      <c r="H918" s="9" t="str">
        <f aca="false">HYPERLINK("https://vtmf.veevavault.com/ui/#doc_info/6439349/0/1", "VTMF-2660962")</f>
        <v>VTMF-2660962</v>
      </c>
    </row>
    <row r="919" customFormat="false" ht="14.25" hidden="false" customHeight="true" outlineLevel="0" collapsed="false">
      <c r="E919" s="8" t="s">
        <v>132</v>
      </c>
      <c r="F919" s="9" t="str">
        <f aca="false">HYPERLINK("https://vtmf.veevavault.com/ui/#doc_info/9139038/1/0", "56022473AML2002-KOR--Approval-03 Jan 2018 (v1.0)")</f>
        <v>56022473AML2002-KOR--Approval-03 Jan 2018 (v1.0)</v>
      </c>
      <c r="G919" s="8" t="s">
        <v>1067</v>
      </c>
      <c r="H919" s="9" t="str">
        <f aca="false">HYPERLINK("https://vtmf.veevavault.com/ui/#doc_info/9139038/1/0", "VTMF-5237961")</f>
        <v>VTMF-5237961</v>
      </c>
    </row>
    <row r="920" customFormat="false" ht="14.25" hidden="false" customHeight="true" outlineLevel="0" collapsed="false">
      <c r="E920" s="8" t="s">
        <v>132</v>
      </c>
      <c r="F920" s="9" t="str">
        <f aca="false">HYPERLINK("https://vtmf.veevavault.com/ui/#doc_info/9139039/1/0", "56022473AML2002-KOR--Approval-03 Jan 2018 (v1.0)")</f>
        <v>56022473AML2002-KOR--Approval-03 Jan 2018 (v1.0)</v>
      </c>
      <c r="G920" s="8" t="s">
        <v>1068</v>
      </c>
      <c r="H920" s="9" t="str">
        <f aca="false">HYPERLINK("https://vtmf.veevavault.com/ui/#doc_info/9139039/1/0", "VTMF-5237962")</f>
        <v>VTMF-5237962</v>
      </c>
    </row>
    <row r="921" customFormat="false" ht="14.25" hidden="false" customHeight="true" outlineLevel="0" collapsed="false">
      <c r="E921" s="8" t="s">
        <v>132</v>
      </c>
      <c r="F921" s="9" t="str">
        <f aca="false">HYPERLINK("https://vtmf.veevavault.com/ui/#doc_info/9605291/1/0", "56022473AML2002-KOR--Approval-08 Jan 2018 (v1.0)")</f>
        <v>56022473AML2002-KOR--Approval-08 Jan 2018 (v1.0)</v>
      </c>
      <c r="G921" s="8" t="s">
        <v>1069</v>
      </c>
      <c r="H921" s="9" t="str">
        <f aca="false">HYPERLINK("https://vtmf.veevavault.com/ui/#doc_info/9605291/1/0", "VTMF-5678848")</f>
        <v>VTMF-5678848</v>
      </c>
    </row>
    <row r="922" customFormat="false" ht="14.25" hidden="false" customHeight="true" outlineLevel="0" collapsed="false">
      <c r="E922" s="8" t="s">
        <v>132</v>
      </c>
      <c r="F922" s="9" t="str">
        <f aca="false">HYPERLINK("https://vtmf.veevavault.com/ui/#doc_info/9605292/1/0", "56022473AML2002-KOR--Approval-24 Oct 2017 (v1.0)")</f>
        <v>56022473AML2002-KOR--Approval-24 Oct 2017 (v1.0)</v>
      </c>
      <c r="G922" s="8" t="s">
        <v>1068</v>
      </c>
      <c r="H922" s="9" t="str">
        <f aca="false">HYPERLINK("https://vtmf.veevavault.com/ui/#doc_info/9605292/1/0", "VTMF-5678849")</f>
        <v>VTMF-5678849</v>
      </c>
    </row>
    <row r="923" customFormat="false" ht="14.25" hidden="false" customHeight="true" outlineLevel="0" collapsed="false">
      <c r="E923" s="8" t="s">
        <v>132</v>
      </c>
      <c r="F923" s="9" t="str">
        <f aca="false">HYPERLINK("https://vtmf.veevavault.com/ui/#doc_info/7703212/5/0", "56022473AML2002-KOR--Approval-28 Dec 2016 (v5.0)")</f>
        <v>56022473AML2002-KOR--Approval-28 Dec 2016 (v5.0)</v>
      </c>
      <c r="G923" s="8" t="s">
        <v>1070</v>
      </c>
      <c r="H923" s="9" t="str">
        <f aca="false">HYPERLINK("https://vtmf.veevavault.com/ui/#doc_info/7703212/5/0", "VTMF-3878923")</f>
        <v>VTMF-3878923</v>
      </c>
    </row>
    <row r="924" customFormat="false" ht="14.25" hidden="false" customHeight="true" outlineLevel="0" collapsed="false">
      <c r="E924" s="8" t="s">
        <v>132</v>
      </c>
      <c r="F924" s="9" t="str">
        <f aca="false">HYPERLINK("https://vtmf.veevavault.com/ui/#doc_info/7703213/1/0", "56022473AML2002-KOR--Approval-28 Dec 2016 (v1.0)")</f>
        <v>56022473AML2002-KOR--Approval-28 Dec 2016 (v1.0)</v>
      </c>
      <c r="G924" s="8" t="s">
        <v>1071</v>
      </c>
      <c r="H924" s="9" t="str">
        <f aca="false">HYPERLINK("https://vtmf.veevavault.com/ui/#doc_info/7703213/1/0", "VTMF-3878924")</f>
        <v>VTMF-3878924</v>
      </c>
    </row>
    <row r="925" customFormat="false" ht="14.25" hidden="false" customHeight="true" outlineLevel="0" collapsed="false">
      <c r="E925" s="8" t="s">
        <v>132</v>
      </c>
      <c r="F925" s="9" t="str">
        <f aca="false">HYPERLINK("https://vtmf.veevavault.com/ui/#doc_info/7558456/1/0", "56021927PCR3002-KOR--Approval-08 Nov 2016 (v1.0)")</f>
        <v>56021927PCR3002-KOR--Approval-08 Nov 2016 (v1.0)</v>
      </c>
      <c r="G925" s="8" t="s">
        <v>1072</v>
      </c>
      <c r="H925" s="9" t="str">
        <f aca="false">HYPERLINK("https://vtmf.veevavault.com/ui/#doc_info/7558456/1/0", "VTMF-3741651")</f>
        <v>VTMF-3741651</v>
      </c>
    </row>
    <row r="926" customFormat="false" ht="14.25" hidden="false" customHeight="true" outlineLevel="0" collapsed="false">
      <c r="E926" s="8" t="s">
        <v>132</v>
      </c>
      <c r="F926" s="9" t="str">
        <f aca="false">HYPERLINK("https://vtmf.veevavault.com/ui/#doc_info/11311666/1/0", "56021927PCR3002-KOR--Approval-17 Jun 2019 (v1.0)")</f>
        <v>56021927PCR3002-KOR--Approval-17 Jun 2019 (v1.0)</v>
      </c>
      <c r="G926" s="8" t="s">
        <v>1073</v>
      </c>
      <c r="H926" s="9" t="str">
        <f aca="false">HYPERLINK("https://vtmf.veevavault.com/ui/#doc_info/11311666/1/0", "VTMF-7259292")</f>
        <v>VTMF-7259292</v>
      </c>
    </row>
    <row r="927" customFormat="false" ht="14.25" hidden="false" customHeight="true" outlineLevel="0" collapsed="false">
      <c r="E927" s="8" t="s">
        <v>132</v>
      </c>
      <c r="F927" s="10" t="str">
        <f aca="false">HYPERLINK("https://vtmf.veevavault.com/ui/#doc_info/23264592/1/0", "Trial3-KOR--Approval-02 Jan 2023 (v1.0)")</f>
        <v>Trial3-KOR--Approval-02 Jan 2023 (v1.0)</v>
      </c>
      <c r="G927" s="8" t="s">
        <v>1074</v>
      </c>
      <c r="H927" s="9" t="str">
        <f aca="false">HYPERLINK("https://vtmf.veevavault.com/ui/#doc_info/23264592/1/0", "VTMF-18390693")</f>
        <v>VTMF-18390693</v>
      </c>
    </row>
    <row r="928" customFormat="false" ht="14.25" hidden="false" customHeight="true" outlineLevel="0" collapsed="false">
      <c r="E928" s="8" t="s">
        <v>132</v>
      </c>
      <c r="F928" s="10" t="str">
        <f aca="false">HYPERLINK("https://vtmf.veevavault.com/ui/#doc_info/23264593/1/0", "Trial3-KOR--Approval-02 Jan 2023 (v1.0)")</f>
        <v>Trial3-KOR--Approval-02 Jan 2023 (v1.0)</v>
      </c>
      <c r="G928" s="8" t="s">
        <v>1075</v>
      </c>
      <c r="H928" s="9" t="str">
        <f aca="false">HYPERLINK("https://vtmf.veevavault.com/ui/#doc_info/23264593/1/0", "VTMF-18390694")</f>
        <v>VTMF-18390694</v>
      </c>
    </row>
    <row r="929" customFormat="false" ht="14.25" hidden="false" customHeight="true" outlineLevel="0" collapsed="false">
      <c r="E929" s="8" t="s">
        <v>132</v>
      </c>
      <c r="F929" s="10" t="str">
        <f aca="false">HYPERLINK("https://vtmf.veevavault.com/ui/#doc_info/23264594/1/0", "Trial3-KOR--Approval-02 Jan 2023 (v1.0)")</f>
        <v>Trial3-KOR--Approval-02 Jan 2023 (v1.0)</v>
      </c>
      <c r="G929" s="8" t="s">
        <v>1076</v>
      </c>
      <c r="H929" s="9" t="str">
        <f aca="false">HYPERLINK("https://vtmf.veevavault.com/ui/#doc_info/23264594/1/0", "VTMF-18390695")</f>
        <v>VTMF-18390695</v>
      </c>
    </row>
    <row r="930" customFormat="false" ht="14.25" hidden="false" customHeight="true" outlineLevel="0" collapsed="false">
      <c r="E930" s="8" t="s">
        <v>132</v>
      </c>
      <c r="F930" s="10" t="str">
        <f aca="false">HYPERLINK("https://vtmf.veevavault.com/ui/#doc_info/24612659/1/0", "Trial3-KOR--Approval-03 Aug 2023 (v1.0)")</f>
        <v>Trial3-KOR--Approval-03 Aug 2023 (v1.0)</v>
      </c>
      <c r="G930" s="8" t="s">
        <v>1077</v>
      </c>
      <c r="H930" s="9" t="str">
        <f aca="false">HYPERLINK("https://vtmf.veevavault.com/ui/#doc_info/24612659/1/0", "VTMF-19563254")</f>
        <v>VTMF-19563254</v>
      </c>
    </row>
    <row r="931" customFormat="false" ht="14.25" hidden="false" customHeight="true" outlineLevel="0" collapsed="false">
      <c r="E931" s="8" t="s">
        <v>132</v>
      </c>
      <c r="F931" s="10" t="str">
        <f aca="false">HYPERLINK("https://vtmf.veevavault.com/ui/#doc_info/24612660/1/0", "Trial3-KOR--Approval-03 Aug 2023 (v1.0)")</f>
        <v>Trial3-KOR--Approval-03 Aug 2023 (v1.0)</v>
      </c>
      <c r="G931" s="8" t="s">
        <v>1078</v>
      </c>
      <c r="H931" s="9" t="str">
        <f aca="false">HYPERLINK("https://vtmf.veevavault.com/ui/#doc_info/24612660/1/0", "VTMF-19563255")</f>
        <v>VTMF-19563255</v>
      </c>
    </row>
    <row r="932" customFormat="false" ht="14.25" hidden="false" customHeight="true" outlineLevel="0" collapsed="false">
      <c r="E932" s="8" t="s">
        <v>132</v>
      </c>
      <c r="F932" s="10" t="str">
        <f aca="false">HYPERLINK("https://vtmf.veevavault.com/ui/#doc_info/24612661/1/0", "Trial3-KOR--Approval-03 Aug 2023 (v1.0)")</f>
        <v>Trial3-KOR--Approval-03 Aug 2023 (v1.0)</v>
      </c>
      <c r="G932" s="8" t="s">
        <v>1079</v>
      </c>
      <c r="H932" s="9" t="str">
        <f aca="false">HYPERLINK("https://vtmf.veevavault.com/ui/#doc_info/24612661/1/0", "VTMF-19563256")</f>
        <v>VTMF-19563256</v>
      </c>
    </row>
    <row r="933" customFormat="false" ht="14.25" hidden="false" customHeight="true" outlineLevel="0" collapsed="false">
      <c r="E933" s="8" t="s">
        <v>132</v>
      </c>
      <c r="F933" s="10" t="str">
        <f aca="false">HYPERLINK("https://vtmf.veevavault.com/ui/#doc_info/20789202/1/0", "Trial3-KOR--Approval-03 Dec 2021 (v1.0)")</f>
        <v>Trial3-KOR--Approval-03 Dec 2021 (v1.0)</v>
      </c>
      <c r="G933" s="8" t="s">
        <v>1080</v>
      </c>
      <c r="H933" s="9" t="str">
        <f aca="false">HYPERLINK("https://vtmf.veevavault.com/ui/#doc_info/20789202/1/0", "VTMF-16222618")</f>
        <v>VTMF-16222618</v>
      </c>
    </row>
    <row r="934" customFormat="false" ht="14.25" hidden="false" customHeight="true" outlineLevel="0" collapsed="false">
      <c r="E934" s="8" t="s">
        <v>132</v>
      </c>
      <c r="F934" s="10" t="str">
        <f aca="false">HYPERLINK("https://vtmf.veevavault.com/ui/#doc_info/20789203/1/0", "Trial3-KOR--Approval-03 Dec 2021 (v1.0)")</f>
        <v>Trial3-KOR--Approval-03 Dec 2021 (v1.0)</v>
      </c>
      <c r="G934" s="8" t="s">
        <v>1081</v>
      </c>
      <c r="H934" s="9" t="str">
        <f aca="false">HYPERLINK("https://vtmf.veevavault.com/ui/#doc_info/20789203/1/0", "VTMF-16222619")</f>
        <v>VTMF-16222619</v>
      </c>
    </row>
    <row r="935" customFormat="false" ht="14.25" hidden="false" customHeight="true" outlineLevel="0" collapsed="false">
      <c r="E935" s="8" t="s">
        <v>132</v>
      </c>
      <c r="F935" s="10" t="str">
        <f aca="false">HYPERLINK("https://vtmf.veevavault.com/ui/#doc_info/20789204/1/0", "Trial3-KOR--Approval-03 Dec 2021 (v1.0)")</f>
        <v>Trial3-KOR--Approval-03 Dec 2021 (v1.0)</v>
      </c>
      <c r="G935" s="8" t="s">
        <v>1082</v>
      </c>
      <c r="H935" s="9" t="str">
        <f aca="false">HYPERLINK("https://vtmf.veevavault.com/ui/#doc_info/20789204/1/0", "VTMF-16222620")</f>
        <v>VTMF-16222620</v>
      </c>
    </row>
    <row r="936" customFormat="false" ht="14.25" hidden="false" customHeight="true" outlineLevel="0" collapsed="false">
      <c r="E936" s="8" t="s">
        <v>132</v>
      </c>
      <c r="F936" s="10" t="str">
        <f aca="false">HYPERLINK("https://vtmf.veevavault.com/ui/#doc_info/22835818/1/0", "Trial3-KOR--Approval-13 Oct 2022 (v1.0)")</f>
        <v>Trial3-KOR--Approval-13 Oct 2022 (v1.0)</v>
      </c>
      <c r="G936" s="8" t="s">
        <v>1083</v>
      </c>
      <c r="H936" s="9" t="str">
        <f aca="false">HYPERLINK("https://vtmf.veevavault.com/ui/#doc_info/22835818/1/0", "VTMF-18019007")</f>
        <v>VTMF-18019007</v>
      </c>
    </row>
    <row r="937" customFormat="false" ht="14.25" hidden="false" customHeight="true" outlineLevel="0" collapsed="false">
      <c r="E937" s="8" t="s">
        <v>132</v>
      </c>
      <c r="F937" s="10" t="str">
        <f aca="false">HYPERLINK("https://vtmf.veevavault.com/ui/#doc_info/22835819/1/0", "Trial3-KOR--Approval-13 Oct 2022 (v1.0)")</f>
        <v>Trial3-KOR--Approval-13 Oct 2022 (v1.0)</v>
      </c>
      <c r="G937" s="8" t="s">
        <v>1084</v>
      </c>
      <c r="H937" s="9" t="str">
        <f aca="false">HYPERLINK("https://vtmf.veevavault.com/ui/#doc_info/22835819/1/0", "VTMF-18019008")</f>
        <v>VTMF-18019008</v>
      </c>
    </row>
    <row r="938" customFormat="false" ht="14.25" hidden="false" customHeight="true" outlineLevel="0" collapsed="false">
      <c r="E938" s="8" t="s">
        <v>132</v>
      </c>
      <c r="F938" s="10" t="str">
        <f aca="false">HYPERLINK("https://vtmf.veevavault.com/ui/#doc_info/22835820/1/0", "Trial3-KOR--Approval-13 Oct 2022 (v1.0)")</f>
        <v>Trial3-KOR--Approval-13 Oct 2022 (v1.0)</v>
      </c>
      <c r="G938" s="8" t="s">
        <v>1085</v>
      </c>
      <c r="H938" s="9" t="str">
        <f aca="false">HYPERLINK("https://vtmf.veevavault.com/ui/#doc_info/22835820/1/0", "VTMF-18019009")</f>
        <v>VTMF-18019009</v>
      </c>
    </row>
    <row r="939" customFormat="false" ht="14.25" hidden="false" customHeight="true" outlineLevel="0" collapsed="false">
      <c r="E939" s="8" t="s">
        <v>132</v>
      </c>
      <c r="F939" s="10" t="str">
        <f aca="false">HYPERLINK("https://vtmf.veevavault.com/ui/#doc_info/24274284/1/0", "Trial3-KOR--Approval-16 Jun 2023 (v1.0)")</f>
        <v>Trial3-KOR--Approval-16 Jun 2023 (v1.0)</v>
      </c>
      <c r="G939" s="8" t="s">
        <v>1086</v>
      </c>
      <c r="H939" s="9" t="str">
        <f aca="false">HYPERLINK("https://vtmf.veevavault.com/ui/#doc_info/24274284/1/0", "VTMF-19270301")</f>
        <v>VTMF-19270301</v>
      </c>
    </row>
    <row r="940" customFormat="false" ht="14.25" hidden="false" customHeight="true" outlineLevel="0" collapsed="false">
      <c r="E940" s="8" t="s">
        <v>132</v>
      </c>
      <c r="F940" s="10" t="str">
        <f aca="false">HYPERLINK("https://vtmf.veevavault.com/ui/#doc_info/24330308/1/0", "Trial3-KOR--Approval-16 Jun 2023 (v1.0)")</f>
        <v>Trial3-KOR--Approval-16 Jun 2023 (v1.0)</v>
      </c>
      <c r="G940" s="8" t="s">
        <v>1087</v>
      </c>
      <c r="H940" s="9" t="str">
        <f aca="false">HYPERLINK("https://vtmf.veevavault.com/ui/#doc_info/24330308/1/0", "VTMF-19318650")</f>
        <v>VTMF-19318650</v>
      </c>
    </row>
    <row r="941" customFormat="false" ht="14.25" hidden="false" customHeight="true" outlineLevel="0" collapsed="false">
      <c r="E941" s="8" t="s">
        <v>132</v>
      </c>
      <c r="F941" s="10" t="str">
        <f aca="false">HYPERLINK("https://vtmf.veevavault.com/ui/#doc_info/24330309/1/0", "Trial3-KOR--Approval-16 Jun 2023 (v1.0)")</f>
        <v>Trial3-KOR--Approval-16 Jun 2023 (v1.0)</v>
      </c>
      <c r="G941" s="8" t="s">
        <v>1088</v>
      </c>
      <c r="H941" s="9" t="str">
        <f aca="false">HYPERLINK("https://vtmf.veevavault.com/ui/#doc_info/24330309/1/0", "VTMF-19318651")</f>
        <v>VTMF-19318651</v>
      </c>
    </row>
    <row r="942" customFormat="false" ht="14.25" hidden="false" customHeight="true" outlineLevel="0" collapsed="false">
      <c r="E942" s="8" t="s">
        <v>132</v>
      </c>
      <c r="F942" s="10" t="str">
        <f aca="false">HYPERLINK("https://vtmf.veevavault.com/ui/#doc_info/19936256/1/0", "Trial3-KOR--Approval-26 Jul 2021 (v1.0)")</f>
        <v>Trial3-KOR--Approval-26 Jul 2021 (v1.0)</v>
      </c>
      <c r="G942" s="8" t="s">
        <v>1089</v>
      </c>
      <c r="H942" s="9" t="str">
        <f aca="false">HYPERLINK("https://vtmf.veevavault.com/ui/#doc_info/19936256/1/0", "VTMF-15467693")</f>
        <v>VTMF-15467693</v>
      </c>
    </row>
    <row r="943" customFormat="false" ht="14.25" hidden="false" customHeight="true" outlineLevel="0" collapsed="false">
      <c r="E943" s="8" t="s">
        <v>132</v>
      </c>
      <c r="F943" s="10" t="str">
        <f aca="false">HYPERLINK("https://vtmf.veevavault.com/ui/#doc_info/19936257/1/0", "Trial3-KOR--Approval-26 Jul 2021 (v1.0)")</f>
        <v>Trial3-KOR--Approval-26 Jul 2021 (v1.0)</v>
      </c>
      <c r="G943" s="8" t="s">
        <v>1090</v>
      </c>
      <c r="H943" s="9" t="str">
        <f aca="false">HYPERLINK("https://vtmf.veevavault.com/ui/#doc_info/19936257/1/0", "VTMF-15467694")</f>
        <v>VTMF-15467694</v>
      </c>
    </row>
    <row r="944" customFormat="false" ht="14.25" hidden="false" customHeight="true" outlineLevel="0" collapsed="false">
      <c r="E944" s="8" t="s">
        <v>132</v>
      </c>
      <c r="F944" s="10" t="str">
        <f aca="false">HYPERLINK("https://vtmf.veevavault.com/ui/#doc_info/19936258/1/0", "Trial3-KOR--Approval-26 Jul 2021 (v1.0)")</f>
        <v>Trial3-KOR--Approval-26 Jul 2021 (v1.0)</v>
      </c>
      <c r="G944" s="8" t="s">
        <v>1091</v>
      </c>
      <c r="H944" s="9" t="str">
        <f aca="false">HYPERLINK("https://vtmf.veevavault.com/ui/#doc_info/19936258/1/0", "VTMF-15467695")</f>
        <v>VTMF-15467695</v>
      </c>
    </row>
    <row r="945" customFormat="false" ht="14.25" hidden="false" customHeight="true" outlineLevel="0" collapsed="false">
      <c r="E945" s="8" t="s">
        <v>132</v>
      </c>
      <c r="F945" s="9" t="str">
        <f aca="false">HYPERLINK("https://vtmf.veevavault.com/ui/#doc_info/26248547/1/0", "17000139BLC3002-KOR--Approval-02 May 2024 (v1.0)")</f>
        <v>17000139BLC3002-KOR--Approval-02 May 2024 (v1.0)</v>
      </c>
      <c r="G945" s="8" t="s">
        <v>1092</v>
      </c>
      <c r="H945" s="9" t="str">
        <f aca="false">HYPERLINK("https://vtmf.veevavault.com/ui/#doc_info/26248547/1/0", "VTMF-20996769")</f>
        <v>VTMF-20996769</v>
      </c>
    </row>
    <row r="946" customFormat="false" ht="14.25" hidden="false" customHeight="true" outlineLevel="0" collapsed="false">
      <c r="E946" s="8" t="s">
        <v>132</v>
      </c>
      <c r="F946" s="9" t="str">
        <f aca="false">HYPERLINK("https://vtmf.veevavault.com/ui/#doc_info/1350166/1/0", "38518168ARA2003-MDA--Approval (v1.0)")</f>
        <v>38518168ARA2003-MDA--Approval (v1.0)</v>
      </c>
      <c r="G946" s="8" t="s">
        <v>1093</v>
      </c>
      <c r="H946" s="9" t="str">
        <f aca="false">HYPERLINK("https://vtmf.veevavault.com/ui/#doc_info/1350166/1/0", "EDMS-GCO-64975692")</f>
        <v>EDMS-GCO-64975692</v>
      </c>
    </row>
    <row r="947" customFormat="false" ht="14.25" hidden="false" customHeight="true" outlineLevel="0" collapsed="false">
      <c r="E947" s="8" t="s">
        <v>132</v>
      </c>
      <c r="F947" s="9" t="str">
        <f aca="false">HYPERLINK("https://vtmf.veevavault.com/ui/#doc_info/1351428/1/0", "38518168ARA2003-MDA--Approval (v1.0)")</f>
        <v>38518168ARA2003-MDA--Approval (v1.0)</v>
      </c>
      <c r="G947" s="8" t="s">
        <v>1094</v>
      </c>
      <c r="H947" s="9" t="str">
        <f aca="false">HYPERLINK("https://vtmf.veevavault.com/ui/#doc_info/1351428/1/0", "EDMS-GCO-65310057")</f>
        <v>EDMS-GCO-65310057</v>
      </c>
    </row>
    <row r="948" customFormat="false" ht="14.25" hidden="false" customHeight="true" outlineLevel="0" collapsed="false">
      <c r="E948" s="8" t="s">
        <v>132</v>
      </c>
      <c r="F948" s="9" t="str">
        <f aca="false">HYPERLINK("https://vtmf.veevavault.com/ui/#doc_info/1351469/1/0", "38518168ARA2003-MDA--Approval (v1.0)")</f>
        <v>38518168ARA2003-MDA--Approval (v1.0)</v>
      </c>
      <c r="G948" s="8" t="s">
        <v>1095</v>
      </c>
      <c r="H948" s="9" t="str">
        <f aca="false">HYPERLINK("https://vtmf.veevavault.com/ui/#doc_info/1351469/1/0", "EDMS-GCO-65401182")</f>
        <v>EDMS-GCO-65401182</v>
      </c>
    </row>
    <row r="949" customFormat="false" ht="14.25" hidden="false" customHeight="true" outlineLevel="0" collapsed="false">
      <c r="E949" s="8" t="s">
        <v>132</v>
      </c>
      <c r="F949" s="9" t="str">
        <f aca="false">HYPERLINK("https://vtmf.veevavault.com/ui/#doc_info/1412640/1/0", "38518168ARA2003-MDA--Approval (v1.0)")</f>
        <v>38518168ARA2003-MDA--Approval (v1.0)</v>
      </c>
      <c r="G949" s="8" t="s">
        <v>1096</v>
      </c>
      <c r="H949" s="9" t="str">
        <f aca="false">HYPERLINK("https://vtmf.veevavault.com/ui/#doc_info/1412640/1/0", "EDMS-GCO-78687202")</f>
        <v>EDMS-GCO-78687202</v>
      </c>
    </row>
    <row r="950" customFormat="false" ht="14.25" hidden="false" customHeight="true" outlineLevel="0" collapsed="false">
      <c r="E950" s="8" t="s">
        <v>848</v>
      </c>
      <c r="F950" s="9" t="str">
        <f aca="false">HYPERLINK("https://vtmf.veevavault.com/ui/#doc_info/1349971/1/0", "38518168ARA2003-MDA--IRB/IEC Approval (v1.0)")</f>
        <v>38518168ARA2003-MDA--IRB/IEC Approval (v1.0)</v>
      </c>
      <c r="G950" s="8" t="s">
        <v>1097</v>
      </c>
      <c r="H950" s="9" t="str">
        <f aca="false">HYPERLINK("https://vtmf.veevavault.com/ui/#doc_info/1349971/1/0", "EDMS-GCO-64974581")</f>
        <v>EDMS-GCO-64974581</v>
      </c>
    </row>
    <row r="951" customFormat="false" ht="14.25" hidden="false" customHeight="true" outlineLevel="0" collapsed="false">
      <c r="E951" s="8" t="s">
        <v>848</v>
      </c>
      <c r="F951" s="9" t="str">
        <f aca="false">HYPERLINK("https://vtmf.veevavault.com/ui/#doc_info/1351478/1/0", "38518168ARA2003-MDA--IRB/IEC Approval (v1.0)")</f>
        <v>38518168ARA2003-MDA--IRB/IEC Approval (v1.0)</v>
      </c>
      <c r="G951" s="8" t="s">
        <v>1098</v>
      </c>
      <c r="H951" s="9" t="str">
        <f aca="false">HYPERLINK("https://vtmf.veevavault.com/ui/#doc_info/1351478/1/0", "EDMS-GCO-65401446")</f>
        <v>EDMS-GCO-65401446</v>
      </c>
    </row>
    <row r="952" customFormat="false" ht="14.25" hidden="false" customHeight="true" outlineLevel="0" collapsed="false">
      <c r="E952" s="8" t="s">
        <v>132</v>
      </c>
      <c r="F952" s="9" t="str">
        <f aca="false">HYPERLINK("https://vtmf.veevavault.com/ui/#doc_info/1726119/1/0", "40411813DAX2001-MDA--Approval (v1.0)")</f>
        <v>40411813DAX2001-MDA--Approval (v1.0)</v>
      </c>
      <c r="G952" s="8" t="s">
        <v>1099</v>
      </c>
      <c r="H952" s="9" t="str">
        <f aca="false">HYPERLINK("https://vtmf.veevavault.com/ui/#doc_info/1726119/1/0", "EDMS-GCO-64257805")</f>
        <v>EDMS-GCO-64257805</v>
      </c>
    </row>
    <row r="953" customFormat="false" ht="14.25" hidden="false" customHeight="true" outlineLevel="0" collapsed="false">
      <c r="E953" s="8" t="s">
        <v>132</v>
      </c>
      <c r="F953" s="9" t="str">
        <f aca="false">HYPERLINK("https://vtmf.veevavault.com/ui/#doc_info/1726127/1/0", "40411813DAX2001-MDA--Approval (v1.0)")</f>
        <v>40411813DAX2001-MDA--Approval (v1.0)</v>
      </c>
      <c r="G953" s="8" t="s">
        <v>1100</v>
      </c>
      <c r="H953" s="9" t="str">
        <f aca="false">HYPERLINK("https://vtmf.veevavault.com/ui/#doc_info/1726127/1/0", "EDMS-GCO-64258168")</f>
        <v>EDMS-GCO-64258168</v>
      </c>
    </row>
    <row r="954" customFormat="false" ht="14.25" hidden="false" customHeight="true" outlineLevel="0" collapsed="false">
      <c r="E954" s="8" t="s">
        <v>848</v>
      </c>
      <c r="F954" s="9" t="str">
        <f aca="false">HYPERLINK("https://vtmf.veevavault.com/ui/#doc_info/1726137/1/0", "40411813DAX2001-MDA--IRB/IEC Approval (v1.0)")</f>
        <v>40411813DAX2001-MDA--IRB/IEC Approval (v1.0)</v>
      </c>
      <c r="G954" s="8" t="s">
        <v>1101</v>
      </c>
      <c r="H954" s="9" t="str">
        <f aca="false">HYPERLINK("https://vtmf.veevavault.com/ui/#doc_info/1726137/1/0", "EDMS-GCO-64258550")</f>
        <v>EDMS-GCO-64258550</v>
      </c>
    </row>
    <row r="955" customFormat="false" ht="14.25" hidden="false" customHeight="true" outlineLevel="0" collapsed="false">
      <c r="E955" s="8" t="s">
        <v>132</v>
      </c>
      <c r="F955" s="9" t="str">
        <f aca="false">HYPERLINK("https://vtmf.veevavault.com/ui/#doc_info/9215847/1/0", "42165279MDD2001-MDA--Approval-22 Dec 2017 (v1.0)")</f>
        <v>42165279MDD2001-MDA--Approval-22 Dec 2017 (v1.0)</v>
      </c>
      <c r="G955" s="8" t="s">
        <v>1102</v>
      </c>
      <c r="H955" s="9" t="str">
        <f aca="false">HYPERLINK("https://vtmf.veevavault.com/ui/#doc_info/9215847/1/0", "VTMF-5310888")</f>
        <v>VTMF-5310888</v>
      </c>
    </row>
    <row r="956" customFormat="false" ht="14.25" hidden="false" customHeight="true" outlineLevel="0" collapsed="false">
      <c r="E956" s="8" t="s">
        <v>132</v>
      </c>
      <c r="F956" s="9" t="str">
        <f aca="false">HYPERLINK("https://vtmf.veevavault.com/ui/#doc_info/9215769/1/0", "42165279MDD2001-MDA--Approval-24 Jan 2018 (v1.0)")</f>
        <v>42165279MDD2001-MDA--Approval-24 Jan 2018 (v1.0)</v>
      </c>
      <c r="G956" s="8" t="s">
        <v>1103</v>
      </c>
      <c r="H956" s="9" t="str">
        <f aca="false">HYPERLINK("https://vtmf.veevavault.com/ui/#doc_info/9215769/1/0", "VTMF-5310814")</f>
        <v>VTMF-5310814</v>
      </c>
    </row>
    <row r="957" customFormat="false" ht="14.25" hidden="false" customHeight="true" outlineLevel="0" collapsed="false">
      <c r="E957" s="8" t="s">
        <v>848</v>
      </c>
      <c r="F957" s="9" t="str">
        <f aca="false">HYPERLINK("https://vtmf.veevavault.com/ui/#doc_info/9216686/1/0", "42165279MDD2001-MDA--IRB/IEC Approval-12 Dec 2017 (v1.0)")</f>
        <v>42165279MDD2001-MDA--IRB/IEC Approval-12 Dec 2017 (v1.0)</v>
      </c>
      <c r="G957" s="8" t="s">
        <v>1104</v>
      </c>
      <c r="H957" s="9" t="str">
        <f aca="false">HYPERLINK("https://vtmf.veevavault.com/ui/#doc_info/9216686/1/0", "VTMF-5311663")</f>
        <v>VTMF-5311663</v>
      </c>
    </row>
    <row r="958" customFormat="false" ht="14.25" hidden="false" customHeight="true" outlineLevel="0" collapsed="false">
      <c r="E958" s="8" t="s">
        <v>848</v>
      </c>
      <c r="F958" s="9" t="str">
        <f aca="false">HYPERLINK("https://vtmf.veevavault.com/ui/#doc_info/5896402/1/0", "42165279MDD2001-MDA--IRB/IEC Approval-27 Jan 2016 (v1.0)")</f>
        <v>42165279MDD2001-MDA--IRB/IEC Approval-27 Jan 2016 (v1.0)</v>
      </c>
      <c r="G958" s="8" t="s">
        <v>1105</v>
      </c>
      <c r="H958" s="9" t="str">
        <f aca="false">HYPERLINK("https://vtmf.veevavault.com/ui/#doc_info/5896402/1/0", "VTMF-2124581")</f>
        <v>VTMF-2124581</v>
      </c>
    </row>
    <row r="959" customFormat="false" ht="14.25" hidden="false" customHeight="true" outlineLevel="0" collapsed="false">
      <c r="E959" s="8" t="s">
        <v>848</v>
      </c>
      <c r="F959" s="9" t="str">
        <f aca="false">HYPERLINK("https://vtmf.veevavault.com/ui/#doc_info/5668021/1/0", "42165279MDD2001-MDA--IRB/IEC Approval-28 Oct 2015 (v1.0)")</f>
        <v>42165279MDD2001-MDA--IRB/IEC Approval-28 Oct 2015 (v1.0)</v>
      </c>
      <c r="G959" s="8" t="s">
        <v>1106</v>
      </c>
      <c r="H959" s="9" t="str">
        <f aca="false">HYPERLINK("https://vtmf.veevavault.com/ui/#doc_info/5668021/1/0", "VTMF-1900433")</f>
        <v>VTMF-1900433</v>
      </c>
    </row>
    <row r="960" customFormat="false" ht="14.25" hidden="false" customHeight="true" outlineLevel="0" collapsed="false">
      <c r="E960" s="8" t="s">
        <v>132</v>
      </c>
      <c r="F960" s="9" t="str">
        <f aca="false">HYPERLINK("https://vtmf.veevavault.com/ui/#doc_info/9389725/1/0", "42756493BLC2001-MDA--Approval-02 Mar 2018 (v1.0)")</f>
        <v>42756493BLC2001-MDA--Approval-02 Mar 2018 (v1.0)</v>
      </c>
      <c r="G960" s="8" t="s">
        <v>1107</v>
      </c>
      <c r="H960" s="9" t="str">
        <f aca="false">HYPERLINK("https://vtmf.veevavault.com/ui/#doc_info/9389725/1/0", "VTMF-5475534")</f>
        <v>VTMF-5475534</v>
      </c>
    </row>
    <row r="961" customFormat="false" ht="14.25" hidden="false" customHeight="true" outlineLevel="0" collapsed="false">
      <c r="E961" s="8" t="s">
        <v>132</v>
      </c>
      <c r="F961" s="9" t="str">
        <f aca="false">HYPERLINK("https://vtmf.veevavault.com/ui/#doc_info/5633917/1/0", "42756493BLC2001-MDA--Approval-12 Jan 2016 (v1.0)")</f>
        <v>42756493BLC2001-MDA--Approval-12 Jan 2016 (v1.0)</v>
      </c>
      <c r="G961" s="8" t="s">
        <v>1108</v>
      </c>
      <c r="H961" s="9" t="str">
        <f aca="false">HYPERLINK("https://vtmf.veevavault.com/ui/#doc_info/5633917/1/0", "VTMF-1866493")</f>
        <v>VTMF-1866493</v>
      </c>
    </row>
    <row r="962" customFormat="false" ht="14.25" hidden="false" customHeight="true" outlineLevel="0" collapsed="false">
      <c r="E962" s="8" t="s">
        <v>132</v>
      </c>
      <c r="F962" s="9" t="str">
        <f aca="false">HYPERLINK("https://vtmf.veevavault.com/ui/#doc_info/7881137/1/0", "42756493BLC2001-MDA--Approval-15 Feb 2017 (v1.0)")</f>
        <v>42756493BLC2001-MDA--Approval-15 Feb 2017 (v1.0)</v>
      </c>
      <c r="G962" s="8" t="s">
        <v>1109</v>
      </c>
      <c r="H962" s="9" t="str">
        <f aca="false">HYPERLINK("https://vtmf.veevavault.com/ui/#doc_info/7881137/1/0", "VTMF-4049527")</f>
        <v>VTMF-4049527</v>
      </c>
    </row>
    <row r="963" customFormat="false" ht="14.25" hidden="false" customHeight="true" outlineLevel="0" collapsed="false">
      <c r="E963" s="8" t="s">
        <v>132</v>
      </c>
      <c r="F963" s="9" t="str">
        <f aca="false">HYPERLINK("https://vtmf.veevavault.com/ui/#doc_info/8122410/1/0", "42756493BLC2001-MDA--Approval-19 Apr 2017 (v1.0)")</f>
        <v>42756493BLC2001-MDA--Approval-19 Apr 2017 (v1.0)</v>
      </c>
      <c r="G963" s="8" t="s">
        <v>1110</v>
      </c>
      <c r="H963" s="9" t="str">
        <f aca="false">HYPERLINK("https://vtmf.veevavault.com/ui/#doc_info/8122410/1/0", "VTMF-4280510")</f>
        <v>VTMF-4280510</v>
      </c>
    </row>
    <row r="964" customFormat="false" ht="14.25" hidden="false" customHeight="true" outlineLevel="0" collapsed="false">
      <c r="E964" s="8" t="s">
        <v>848</v>
      </c>
      <c r="F964" s="9" t="str">
        <f aca="false">HYPERLINK("https://vtmf.veevavault.com/ui/#doc_info/5644120/1/0", "42756493BLC2001-MDA--IRB/IEC Approval-01 Jul 2015 (v1.0)")</f>
        <v>42756493BLC2001-MDA--IRB/IEC Approval-01 Jul 2015 (v1.0)</v>
      </c>
      <c r="G964" s="8" t="s">
        <v>1111</v>
      </c>
      <c r="H964" s="9" t="str">
        <f aca="false">HYPERLINK("https://vtmf.veevavault.com/ui/#doc_info/5644120/1/0", "VTMF-1876753")</f>
        <v>VTMF-1876753</v>
      </c>
    </row>
    <row r="965" customFormat="false" ht="14.25" hidden="false" customHeight="true" outlineLevel="0" collapsed="false">
      <c r="E965" s="8" t="s">
        <v>848</v>
      </c>
      <c r="F965" s="9" t="str">
        <f aca="false">HYPERLINK("https://vtmf.veevavault.com/ui/#doc_info/7880945/1/0", "42756493BLC2001-MDA--IRB/IEC Approval-04 Jan 2017 (v1.0)")</f>
        <v>42756493BLC2001-MDA--IRB/IEC Approval-04 Jan 2017 (v1.0)</v>
      </c>
      <c r="G965" s="8" t="s">
        <v>1112</v>
      </c>
      <c r="H965" s="9" t="str">
        <f aca="false">HYPERLINK("https://vtmf.veevavault.com/ui/#doc_info/7880945/1/0", "VTMF-4049338")</f>
        <v>VTMF-4049338</v>
      </c>
    </row>
    <row r="966" customFormat="false" ht="14.25" hidden="false" customHeight="true" outlineLevel="0" collapsed="false">
      <c r="E966" s="8" t="s">
        <v>848</v>
      </c>
      <c r="F966" s="9" t="str">
        <f aca="false">HYPERLINK("https://vtmf.veevavault.com/ui/#doc_info/8122433/1/0", "42756493BLC2001-MDA--IRB/IEC Approval-07 Oct 2016 (v1.0)")</f>
        <v>42756493BLC2001-MDA--IRB/IEC Approval-07 Oct 2016 (v1.0)</v>
      </c>
      <c r="G966" s="8" t="s">
        <v>1113</v>
      </c>
      <c r="H966" s="9" t="str">
        <f aca="false">HYPERLINK("https://vtmf.veevavault.com/ui/#doc_info/8122433/1/0", "VTMF-4280535")</f>
        <v>VTMF-4280535</v>
      </c>
    </row>
    <row r="967" customFormat="false" ht="14.25" hidden="false" customHeight="true" outlineLevel="0" collapsed="false">
      <c r="E967" s="8" t="s">
        <v>132</v>
      </c>
      <c r="F967" s="9" t="str">
        <f aca="false">HYPERLINK("https://vtmf.veevavault.com/ui/#doc_info/5689796/0/1", "55920839SLE1001-MDA--Approval (v0.1)")</f>
        <v>55920839SLE1001-MDA--Approval (v0.1)</v>
      </c>
      <c r="G967" s="8"/>
      <c r="H967" s="9" t="str">
        <f aca="false">HYPERLINK("https://vtmf.veevavault.com/ui/#doc_info/5689796/0/1", "VTMF-1921503")</f>
        <v>VTMF-1921503</v>
      </c>
    </row>
    <row r="968" customFormat="false" ht="14.25" hidden="false" customHeight="true" outlineLevel="0" collapsed="false">
      <c r="E968" s="8" t="s">
        <v>132</v>
      </c>
      <c r="F968" s="9" t="str">
        <f aca="false">HYPERLINK("https://vtmf.veevavault.com/ui/#doc_info/6354735/1/0", "55920839SLE1001-MDA--Approval (v1.0)")</f>
        <v>55920839SLE1001-MDA--Approval (v1.0)</v>
      </c>
      <c r="G968" s="8" t="s">
        <v>1114</v>
      </c>
      <c r="H968" s="9" t="str">
        <f aca="false">HYPERLINK("https://vtmf.veevavault.com/ui/#doc_info/6354735/1/0", "VTMF-2577458")</f>
        <v>VTMF-2577458</v>
      </c>
    </row>
    <row r="969" customFormat="false" ht="14.25" hidden="false" customHeight="true" outlineLevel="0" collapsed="false">
      <c r="E969" s="8" t="s">
        <v>132</v>
      </c>
      <c r="F969" s="9" t="str">
        <f aca="false">HYPERLINK("https://vtmf.veevavault.com/ui/#doc_info/6564420/1/0", "55920839SLE1001-MDA--Approval (v1.0)")</f>
        <v>55920839SLE1001-MDA--Approval (v1.0)</v>
      </c>
      <c r="G969" s="8" t="s">
        <v>1115</v>
      </c>
      <c r="H969" s="9" t="str">
        <f aca="false">HYPERLINK("https://vtmf.veevavault.com/ui/#doc_info/6564420/1/0", "VTMF-2783303")</f>
        <v>VTMF-2783303</v>
      </c>
    </row>
    <row r="970" customFormat="false" ht="14.25" hidden="false" customHeight="true" outlineLevel="0" collapsed="false">
      <c r="E970" s="8" t="s">
        <v>132</v>
      </c>
      <c r="F970" s="9" t="str">
        <f aca="false">HYPERLINK("https://vtmf.veevavault.com/ui/#doc_info/8028250/1/0", "55920839SLE1001-MDA--Approval (v1.0)")</f>
        <v>55920839SLE1001-MDA--Approval (v1.0)</v>
      </c>
      <c r="G970" s="8" t="s">
        <v>1116</v>
      </c>
      <c r="H970" s="9" t="str">
        <f aca="false">HYPERLINK("https://vtmf.veevavault.com/ui/#doc_info/8028250/1/0", "VTMF-4190461")</f>
        <v>VTMF-4190461</v>
      </c>
    </row>
    <row r="971" customFormat="false" ht="14.25" hidden="false" customHeight="true" outlineLevel="0" collapsed="false">
      <c r="E971" s="8" t="s">
        <v>132</v>
      </c>
      <c r="F971" s="9" t="str">
        <f aca="false">HYPERLINK("https://vtmf.veevavault.com/ui/#doc_info/8163842/1/0", "55920839SLE1001-MDA--Approval (v1.0)")</f>
        <v>55920839SLE1001-MDA--Approval (v1.0)</v>
      </c>
      <c r="G971" s="8" t="s">
        <v>1117</v>
      </c>
      <c r="H971" s="9" t="str">
        <f aca="false">HYPERLINK("https://vtmf.veevavault.com/ui/#doc_info/8163842/1/0", "VTMF-4319960")</f>
        <v>VTMF-4319960</v>
      </c>
    </row>
    <row r="972" customFormat="false" ht="14.25" hidden="false" customHeight="true" outlineLevel="0" collapsed="false">
      <c r="E972" s="8" t="s">
        <v>132</v>
      </c>
      <c r="F972" s="9" t="str">
        <f aca="false">HYPERLINK("https://vtmf.veevavault.com/ui/#doc_info/8333981/1/0", "55920839SLE1001-MDA--Approval (v1.0)")</f>
        <v>55920839SLE1001-MDA--Approval (v1.0)</v>
      </c>
      <c r="G972" s="8" t="s">
        <v>1118</v>
      </c>
      <c r="H972" s="9" t="str">
        <f aca="false">HYPERLINK("https://vtmf.veevavault.com/ui/#doc_info/8333981/1/0", "VTMF-4480806")</f>
        <v>VTMF-4480806</v>
      </c>
    </row>
    <row r="973" customFormat="false" ht="14.25" hidden="false" customHeight="true" outlineLevel="0" collapsed="false">
      <c r="E973" s="8" t="s">
        <v>132</v>
      </c>
      <c r="F973" s="9" t="str">
        <f aca="false">HYPERLINK("https://vtmf.veevavault.com/ui/#doc_info/9031420/1/0", "55920839SLE1001-MDA--Approval-10 Nov 2017 (v1.0)")</f>
        <v>55920839SLE1001-MDA--Approval-10 Nov 2017 (v1.0)</v>
      </c>
      <c r="G973" s="8" t="s">
        <v>1119</v>
      </c>
      <c r="H973" s="9" t="str">
        <f aca="false">HYPERLINK("https://vtmf.veevavault.com/ui/#doc_info/9031420/1/0", "VTMF-5137402")</f>
        <v>VTMF-5137402</v>
      </c>
    </row>
    <row r="974" customFormat="false" ht="14.25" hidden="false" customHeight="true" outlineLevel="0" collapsed="false">
      <c r="E974" s="8" t="s">
        <v>848</v>
      </c>
      <c r="F974" s="9" t="str">
        <f aca="false">HYPERLINK("https://vtmf.veevavault.com/ui/#doc_info/6001388/1/0", "55920839SLE1001-MDA--IRB/IEC Approval (v1.0)")</f>
        <v>55920839SLE1001-MDA--IRB/IEC Approval (v1.0)</v>
      </c>
      <c r="G974" s="8" t="s">
        <v>1120</v>
      </c>
      <c r="H974" s="9" t="str">
        <f aca="false">HYPERLINK("https://vtmf.veevavault.com/ui/#doc_info/6001388/1/0", "VTMF-2227879")</f>
        <v>VTMF-2227879</v>
      </c>
    </row>
    <row r="975" customFormat="false" ht="14.25" hidden="false" customHeight="true" outlineLevel="0" collapsed="false">
      <c r="E975" s="8" t="s">
        <v>848</v>
      </c>
      <c r="F975" s="9" t="str">
        <f aca="false">HYPERLINK("https://vtmf.veevavault.com/ui/#doc_info/8114638/1/0", "55920839SLE1001-MDA--IRB/IEC Approval (v1.0)")</f>
        <v>55920839SLE1001-MDA--IRB/IEC Approval (v1.0)</v>
      </c>
      <c r="G975" s="8" t="s">
        <v>1121</v>
      </c>
      <c r="H975" s="9" t="str">
        <f aca="false">HYPERLINK("https://vtmf.veevavault.com/ui/#doc_info/8114638/1/0", "VTMF-4273129")</f>
        <v>VTMF-4273129</v>
      </c>
    </row>
    <row r="976" customFormat="false" ht="14.25" hidden="false" customHeight="true" outlineLevel="0" collapsed="false">
      <c r="E976" s="8" t="s">
        <v>848</v>
      </c>
      <c r="F976" s="9" t="str">
        <f aca="false">HYPERLINK("https://vtmf.veevavault.com/ui/#doc_info/8163850/1/0", "55920839SLE1001-MDA--IRB/IEC Approval (v1.0)")</f>
        <v>55920839SLE1001-MDA--IRB/IEC Approval (v1.0)</v>
      </c>
      <c r="G976" s="8" t="s">
        <v>1122</v>
      </c>
      <c r="H976" s="9" t="str">
        <f aca="false">HYPERLINK("https://vtmf.veevavault.com/ui/#doc_info/8163850/1/0", "VTMF-4319969")</f>
        <v>VTMF-4319969</v>
      </c>
    </row>
    <row r="977" customFormat="false" ht="14.25" hidden="false" customHeight="true" outlineLevel="0" collapsed="false">
      <c r="E977" s="8" t="s">
        <v>848</v>
      </c>
      <c r="F977" s="9" t="str">
        <f aca="false">HYPERLINK("https://vtmf.veevavault.com/ui/#doc_info/9031472/1/0", "55920839SLE1001-MDA--IRB/IEC Approval-05 Dec 2017 (v1.0)")</f>
        <v>55920839SLE1001-MDA--IRB/IEC Approval-05 Dec 2017 (v1.0)</v>
      </c>
      <c r="G977" s="8" t="s">
        <v>1123</v>
      </c>
      <c r="H977" s="9" t="str">
        <f aca="false">HYPERLINK("https://vtmf.veevavault.com/ui/#doc_info/9031472/1/0", "VTMF-5137449")</f>
        <v>VTMF-5137449</v>
      </c>
    </row>
    <row r="978" customFormat="false" ht="14.25" hidden="false" customHeight="true" outlineLevel="0" collapsed="false">
      <c r="E978" s="8" t="s">
        <v>132</v>
      </c>
      <c r="F978" s="9" t="str">
        <f aca="false">HYPERLINK("https://vtmf.veevavault.com/ui/#doc_info/8163234/1/0", "56021927PCR1019-MDA--Approval-02 May 2017 (v1.0)")</f>
        <v>56021927PCR1019-MDA--Approval-02 May 2017 (v1.0)</v>
      </c>
      <c r="G978" s="8" t="s">
        <v>1124</v>
      </c>
      <c r="H978" s="9" t="str">
        <f aca="false">HYPERLINK("https://vtmf.veevavault.com/ui/#doc_info/8163234/1/0", "VTMF-4319353")</f>
        <v>VTMF-4319353</v>
      </c>
    </row>
    <row r="979" customFormat="false" ht="14.25" hidden="false" customHeight="true" outlineLevel="0" collapsed="false">
      <c r="E979" s="8" t="s">
        <v>132</v>
      </c>
      <c r="F979" s="9" t="str">
        <f aca="false">HYPERLINK("https://vtmf.veevavault.com/ui/#doc_info/9461346/1/0", "56021927PCR1019-MDA--Approval-03 Apr 2018 (v1.0)")</f>
        <v>56021927PCR1019-MDA--Approval-03 Apr 2018 (v1.0)</v>
      </c>
      <c r="G979" s="8" t="s">
        <v>1125</v>
      </c>
      <c r="H979" s="9" t="str">
        <f aca="false">HYPERLINK("https://vtmf.veevavault.com/ui/#doc_info/9461346/1/0", "VTMF-5542743")</f>
        <v>VTMF-5542743</v>
      </c>
    </row>
    <row r="980" customFormat="false" ht="14.25" hidden="false" customHeight="true" outlineLevel="0" collapsed="false">
      <c r="E980" s="8" t="s">
        <v>132</v>
      </c>
      <c r="F980" s="9" t="str">
        <f aca="false">HYPERLINK("https://vtmf.veevavault.com/ui/#doc_info/9461347/1/0", "56021927PCR1019-MDA--Approval-03 Apr 2018 (v1.0)")</f>
        <v>56021927PCR1019-MDA--Approval-03 Apr 2018 (v1.0)</v>
      </c>
      <c r="G980" s="8" t="s">
        <v>1126</v>
      </c>
      <c r="H980" s="9" t="str">
        <f aca="false">HYPERLINK("https://vtmf.veevavault.com/ui/#doc_info/9461347/1/0", "VTMF-5542744")</f>
        <v>VTMF-5542744</v>
      </c>
    </row>
    <row r="981" customFormat="false" ht="14.25" hidden="false" customHeight="true" outlineLevel="0" collapsed="false">
      <c r="E981" s="8" t="s">
        <v>132</v>
      </c>
      <c r="F981" s="9" t="str">
        <f aca="false">HYPERLINK("https://vtmf.veevavault.com/ui/#doc_info/19493159/1/0", "56021927PCR1019-MDA--Approval-03 Mar 2021 (v1.0)")</f>
        <v>56021927PCR1019-MDA--Approval-03 Mar 2021 (v1.0)</v>
      </c>
      <c r="G981" s="8" t="s">
        <v>1127</v>
      </c>
      <c r="H981" s="9" t="str">
        <f aca="false">HYPERLINK("https://vtmf.veevavault.com/ui/#doc_info/19493159/1/0", "VTMF-15077193")</f>
        <v>VTMF-15077193</v>
      </c>
    </row>
    <row r="982" customFormat="false" ht="14.25" hidden="false" customHeight="true" outlineLevel="0" collapsed="false">
      <c r="E982" s="8" t="s">
        <v>132</v>
      </c>
      <c r="F982" s="9" t="str">
        <f aca="false">HYPERLINK("https://vtmf.veevavault.com/ui/#doc_info/5844407/1/0", "56021927PCR1019-MDA--Approval-04 Feb 2016 (v1.0)")</f>
        <v>56021927PCR1019-MDA--Approval-04 Feb 2016 (v1.0)</v>
      </c>
      <c r="G982" s="8" t="s">
        <v>1128</v>
      </c>
      <c r="H982" s="9" t="str">
        <f aca="false">HYPERLINK("https://vtmf.veevavault.com/ui/#doc_info/5844407/1/0", "VTMF-2073181")</f>
        <v>VTMF-2073181</v>
      </c>
    </row>
    <row r="983" customFormat="false" ht="14.25" hidden="false" customHeight="true" outlineLevel="0" collapsed="false">
      <c r="E983" s="8" t="s">
        <v>132</v>
      </c>
      <c r="F983" s="9" t="str">
        <f aca="false">HYPERLINK("https://vtmf.veevavault.com/ui/#doc_info/10642109/1/0", "56021927PCR1019-MDA--Approval-05 Mar 2019 (v1.0)")</f>
        <v>56021927PCR1019-MDA--Approval-05 Mar 2019 (v1.0)</v>
      </c>
      <c r="G983" s="8" t="s">
        <v>1129</v>
      </c>
      <c r="H983" s="9" t="str">
        <f aca="false">HYPERLINK("https://vtmf.veevavault.com/ui/#doc_info/10642109/1/0", "VTMF-6637650")</f>
        <v>VTMF-6637650</v>
      </c>
    </row>
    <row r="984" customFormat="false" ht="14.25" hidden="false" customHeight="true" outlineLevel="0" collapsed="false">
      <c r="E984" s="8" t="s">
        <v>132</v>
      </c>
      <c r="F984" s="9" t="str">
        <f aca="false">HYPERLINK("https://vtmf.veevavault.com/ui/#doc_info/8088216/1/0", "56021927PCR1019-MDA--Approval-10 Apr 2017 (v1.0)")</f>
        <v>56021927PCR1019-MDA--Approval-10 Apr 2017 (v1.0)</v>
      </c>
      <c r="G984" s="8" t="s">
        <v>1130</v>
      </c>
      <c r="H984" s="9" t="str">
        <f aca="false">HYPERLINK("https://vtmf.veevavault.com/ui/#doc_info/8088216/1/0", "VTMF-4248248")</f>
        <v>VTMF-4248248</v>
      </c>
    </row>
    <row r="985" customFormat="false" ht="14.25" hidden="false" customHeight="true" outlineLevel="0" collapsed="false">
      <c r="E985" s="8" t="s">
        <v>132</v>
      </c>
      <c r="F985" s="9" t="str">
        <f aca="false">HYPERLINK("https://vtmf.veevavault.com/ui/#doc_info/22028136/1/0", "56021927PCR1019-MDA--Approval-17 Jun 2022 (v1.0)")</f>
        <v>56021927PCR1019-MDA--Approval-17 Jun 2022 (v1.0)</v>
      </c>
      <c r="G985" s="8" t="s">
        <v>1131</v>
      </c>
      <c r="H985" s="9" t="str">
        <f aca="false">HYPERLINK("https://vtmf.veevavault.com/ui/#doc_info/22028136/1/0", "VTMF-17318947")</f>
        <v>VTMF-17318947</v>
      </c>
    </row>
    <row r="986" customFormat="false" ht="14.25" hidden="false" customHeight="true" outlineLevel="0" collapsed="false">
      <c r="E986" s="8" t="s">
        <v>132</v>
      </c>
      <c r="F986" s="9" t="str">
        <f aca="false">HYPERLINK("https://vtmf.veevavault.com/ui/#doc_info/5961277/1/0", "56021927PCR1019-MDA--Approval-19 Feb 2016 (v1.0)")</f>
        <v>56021927PCR1019-MDA--Approval-19 Feb 2016 (v1.0)</v>
      </c>
      <c r="G986" s="8" t="s">
        <v>1132</v>
      </c>
      <c r="H986" s="9" t="str">
        <f aca="false">HYPERLINK("https://vtmf.veevavault.com/ui/#doc_info/5961277/1/0", "VTMF-2188125")</f>
        <v>VTMF-2188125</v>
      </c>
    </row>
    <row r="987" customFormat="false" ht="14.25" hidden="false" customHeight="true" outlineLevel="0" collapsed="false">
      <c r="E987" s="8" t="s">
        <v>132</v>
      </c>
      <c r="F987" s="9" t="str">
        <f aca="false">HYPERLINK("https://vtmf.veevavault.com/ui/#doc_info/23276053/1/0", "56021927PCR1019-MDA--Approval-21 Dec 2022 (v1.0)")</f>
        <v>56021927PCR1019-MDA--Approval-21 Dec 2022 (v1.0)</v>
      </c>
      <c r="G987" s="8" t="s">
        <v>1133</v>
      </c>
      <c r="H987" s="9" t="str">
        <f aca="false">HYPERLINK("https://vtmf.veevavault.com/ui/#doc_info/23276053/1/0", "VTMF-18400299")</f>
        <v>VTMF-18400299</v>
      </c>
    </row>
    <row r="988" customFormat="false" ht="14.25" hidden="false" customHeight="true" outlineLevel="0" collapsed="false">
      <c r="E988" s="8" t="s">
        <v>132</v>
      </c>
      <c r="F988" s="9" t="str">
        <f aca="false">HYPERLINK("https://vtmf.veevavault.com/ui/#doc_info/13335430/1/0", "56021927PCR1019-MDA--Approval-21 Jul 2020 (v1.0)")</f>
        <v>56021927PCR1019-MDA--Approval-21 Jul 2020 (v1.0)</v>
      </c>
      <c r="G988" s="8" t="s">
        <v>1134</v>
      </c>
      <c r="H988" s="9" t="str">
        <f aca="false">HYPERLINK("https://vtmf.veevavault.com/ui/#doc_info/13335430/1/0", "VTMF-9139622")</f>
        <v>VTMF-9139622</v>
      </c>
    </row>
    <row r="989" customFormat="false" ht="14.25" hidden="false" customHeight="true" outlineLevel="0" collapsed="false">
      <c r="E989" s="8" t="s">
        <v>132</v>
      </c>
      <c r="F989" s="9" t="str">
        <f aca="false">HYPERLINK("https://vtmf.veevavault.com/ui/#doc_info/13335431/1/0", "56021927PCR1019-MDA--Approval-21 Jul 2020 (v1.0)")</f>
        <v>56021927PCR1019-MDA--Approval-21 Jul 2020 (v1.0)</v>
      </c>
      <c r="G989" s="8" t="s">
        <v>1135</v>
      </c>
      <c r="H989" s="9" t="str">
        <f aca="false">HYPERLINK("https://vtmf.veevavault.com/ui/#doc_info/13335431/1/0", "VTMF-9139619")</f>
        <v>VTMF-9139619</v>
      </c>
    </row>
    <row r="990" customFormat="false" ht="14.25" hidden="false" customHeight="true" outlineLevel="0" collapsed="false">
      <c r="E990" s="8" t="s">
        <v>132</v>
      </c>
      <c r="F990" s="9" t="str">
        <f aca="false">HYPERLINK("https://vtmf.veevavault.com/ui/#doc_info/13335432/1/0", "56021927PCR1019-MDA--Approval-21 Jul 2020 (v1.0)")</f>
        <v>56021927PCR1019-MDA--Approval-21 Jul 2020 (v1.0)</v>
      </c>
      <c r="G990" s="8" t="s">
        <v>1136</v>
      </c>
      <c r="H990" s="9" t="str">
        <f aca="false">HYPERLINK("https://vtmf.veevavault.com/ui/#doc_info/13335432/1/0", "VTMF-9139618")</f>
        <v>VTMF-9139618</v>
      </c>
    </row>
    <row r="991" customFormat="false" ht="14.25" hidden="false" customHeight="true" outlineLevel="0" collapsed="false">
      <c r="E991" s="8" t="s">
        <v>132</v>
      </c>
      <c r="F991" s="9" t="str">
        <f aca="false">HYPERLINK("https://vtmf.veevavault.com/ui/#doc_info/19834300/1/0", "56021927PCR1019-MDA--Approval-21 Jul 2021 (v1.0)")</f>
        <v>56021927PCR1019-MDA--Approval-21 Jul 2021 (v1.0)</v>
      </c>
      <c r="G991" s="8" t="s">
        <v>1137</v>
      </c>
      <c r="H991" s="9" t="str">
        <f aca="false">HYPERLINK("https://vtmf.veevavault.com/ui/#doc_info/19834300/1/0", "VTMF-15377118")</f>
        <v>VTMF-15377118</v>
      </c>
    </row>
    <row r="992" customFormat="false" ht="14.25" hidden="false" customHeight="true" outlineLevel="0" collapsed="false">
      <c r="E992" s="8" t="s">
        <v>132</v>
      </c>
      <c r="F992" s="9" t="str">
        <f aca="false">HYPERLINK("https://vtmf.veevavault.com/ui/#doc_info/9204337/1/0", "56021927PCR1019-MDA--Approval-22 Dec 2017 (v1.0)")</f>
        <v>56021927PCR1019-MDA--Approval-22 Dec 2017 (v1.0)</v>
      </c>
      <c r="G992" s="8" t="s">
        <v>1138</v>
      </c>
      <c r="H992" s="9" t="str">
        <f aca="false">HYPERLINK("https://vtmf.veevavault.com/ui/#doc_info/9204337/1/0", "VTMF-5299843")</f>
        <v>VTMF-5299843</v>
      </c>
    </row>
    <row r="993" customFormat="false" ht="14.25" hidden="false" customHeight="true" outlineLevel="0" collapsed="false">
      <c r="E993" s="8" t="s">
        <v>132</v>
      </c>
      <c r="F993" s="9" t="str">
        <f aca="false">HYPERLINK("https://vtmf.veevavault.com/ui/#doc_info/15140098/2/0", "56021927PCR1019-MDA--Approval-26 Nov 2020 (v2.0)")</f>
        <v>56021927PCR1019-MDA--Approval-26 Nov 2020 (v2.0)</v>
      </c>
      <c r="G993" s="8" t="s">
        <v>1139</v>
      </c>
      <c r="H993" s="9" t="str">
        <f aca="false">HYPERLINK("https://vtmf.veevavault.com/ui/#doc_info/15140098/2/0", "VTMF-10865023")</f>
        <v>VTMF-10865023</v>
      </c>
    </row>
    <row r="994" customFormat="false" ht="14.25" hidden="false" customHeight="true" outlineLevel="0" collapsed="false">
      <c r="E994" s="8" t="s">
        <v>132</v>
      </c>
      <c r="F994" s="9" t="str">
        <f aca="false">HYPERLINK("https://vtmf.veevavault.com/ui/#doc_info/7472294/1/0", "56021927PCR1019-MDA--Approval-26 Oct 2016 (v1.0)")</f>
        <v>56021927PCR1019-MDA--Approval-26 Oct 2016 (v1.0)</v>
      </c>
      <c r="G994" s="8" t="s">
        <v>1140</v>
      </c>
      <c r="H994" s="9" t="str">
        <f aca="false">HYPERLINK("https://vtmf.veevavault.com/ui/#doc_info/7472294/1/0", "VTMF-3660602")</f>
        <v>VTMF-3660602</v>
      </c>
    </row>
    <row r="995" customFormat="false" ht="14.25" hidden="false" customHeight="true" outlineLevel="0" collapsed="false">
      <c r="E995" s="8" t="s">
        <v>132</v>
      </c>
      <c r="F995" s="9" t="str">
        <f aca="false">HYPERLINK("https://vtmf.veevavault.com/ui/#doc_info/11231435/1/0", "56021927PCR1019-MDA--Approval-27 Jun 2019 (v1.0)")</f>
        <v>56021927PCR1019-MDA--Approval-27 Jun 2019 (v1.0)</v>
      </c>
      <c r="G995" s="8" t="s">
        <v>1141</v>
      </c>
      <c r="H995" s="9" t="str">
        <f aca="false">HYPERLINK("https://vtmf.veevavault.com/ui/#doc_info/11231435/1/0", "VTMF-7185741")</f>
        <v>VTMF-7185741</v>
      </c>
    </row>
    <row r="996" customFormat="false" ht="14.25" hidden="false" customHeight="true" outlineLevel="0" collapsed="false">
      <c r="E996" s="8" t="s">
        <v>848</v>
      </c>
      <c r="F996" s="9" t="str">
        <f aca="false">HYPERLINK("https://vtmf.veevavault.com/ui/#doc_info/11231433/1/0", "56021927PCR1019-MDA--IRB/IEC Approval-02 Jul 2019 (v1.0)")</f>
        <v>56021927PCR1019-MDA--IRB/IEC Approval-02 Jul 2019 (v1.0)</v>
      </c>
      <c r="G996" s="8" t="s">
        <v>1142</v>
      </c>
      <c r="H996" s="9" t="str">
        <f aca="false">HYPERLINK("https://vtmf.veevavault.com/ui/#doc_info/11231433/1/0", "VTMF-7185740")</f>
        <v>VTMF-7185740</v>
      </c>
    </row>
    <row r="997" customFormat="false" ht="14.25" hidden="false" customHeight="true" outlineLevel="0" collapsed="false">
      <c r="E997" s="8" t="s">
        <v>848</v>
      </c>
      <c r="F997" s="9" t="str">
        <f aca="false">HYPERLINK("https://vtmf.veevavault.com/ui/#doc_info/8088265/1/0", "56021927PCR1019-MDA--IRB/IEC Approval-03 Apr 2017 (v1.0)")</f>
        <v>56021927PCR1019-MDA--IRB/IEC Approval-03 Apr 2017 (v1.0)</v>
      </c>
      <c r="G997" s="8" t="s">
        <v>1143</v>
      </c>
      <c r="H997" s="9" t="str">
        <f aca="false">HYPERLINK("https://vtmf.veevavault.com/ui/#doc_info/8088265/1/0", "VTMF-4248310")</f>
        <v>VTMF-4248310</v>
      </c>
    </row>
    <row r="998" customFormat="false" ht="14.25" hidden="false" customHeight="true" outlineLevel="0" collapsed="false">
      <c r="E998" s="8" t="s">
        <v>848</v>
      </c>
      <c r="F998" s="9" t="str">
        <f aca="false">HYPERLINK("https://vtmf.veevavault.com/ui/#doc_info/8088285/1/0", "56021927PCR1019-MDA--IRB/IEC Approval-03 Apr 2017 (v1.0)")</f>
        <v>56021927PCR1019-MDA--IRB/IEC Approval-03 Apr 2017 (v1.0)</v>
      </c>
      <c r="G998" s="8" t="s">
        <v>1144</v>
      </c>
      <c r="H998" s="9" t="str">
        <f aca="false">HYPERLINK("https://vtmf.veevavault.com/ui/#doc_info/8088285/1/0", "VTMF-4248331")</f>
        <v>VTMF-4248331</v>
      </c>
    </row>
    <row r="999" customFormat="false" ht="14.25" hidden="false" customHeight="true" outlineLevel="0" collapsed="false">
      <c r="E999" s="8" t="s">
        <v>848</v>
      </c>
      <c r="F999" s="9" t="str">
        <f aca="false">HYPERLINK("https://vtmf.veevavault.com/ui/#doc_info/9204364/1/0", "56021927PCR1019-MDA--IRB/IEC Approval-04 Jan 2018 (v1.0)")</f>
        <v>56021927PCR1019-MDA--IRB/IEC Approval-04 Jan 2018 (v1.0)</v>
      </c>
      <c r="G999" s="8" t="s">
        <v>1145</v>
      </c>
      <c r="H999" s="9" t="str">
        <f aca="false">HYPERLINK("https://vtmf.veevavault.com/ui/#doc_info/9204364/1/0", "VTMF-5299864")</f>
        <v>VTMF-5299864</v>
      </c>
    </row>
    <row r="1000" customFormat="false" ht="14.25" hidden="false" customHeight="true" outlineLevel="0" collapsed="false">
      <c r="E1000" s="8" t="s">
        <v>848</v>
      </c>
      <c r="F1000" s="9" t="str">
        <f aca="false">HYPERLINK("https://vtmf.veevavault.com/ui/#doc_info/9461370/1/0", "56021927PCR1019-MDA--IRB/IEC Approval-05 Apr 2018 (v1.0)")</f>
        <v>56021927PCR1019-MDA--IRB/IEC Approval-05 Apr 2018 (v1.0)</v>
      </c>
      <c r="G1000" s="8" t="s">
        <v>1146</v>
      </c>
      <c r="H1000" s="9" t="str">
        <f aca="false">HYPERLINK("https://vtmf.veevavault.com/ui/#doc_info/9461370/1/0", "VTMF-5542767")</f>
        <v>VTMF-5542767</v>
      </c>
    </row>
    <row r="1001" customFormat="false" ht="14.25" hidden="false" customHeight="true" outlineLevel="0" collapsed="false">
      <c r="E1001" s="8" t="s">
        <v>848</v>
      </c>
      <c r="F1001" s="9" t="str">
        <f aca="false">HYPERLINK("https://vtmf.veevavault.com/ui/#doc_info/9461371/1/0", "56021927PCR1019-MDA--IRB/IEC Approval-05 Apr 2018 (v1.0)")</f>
        <v>56021927PCR1019-MDA--IRB/IEC Approval-05 Apr 2018 (v1.0)</v>
      </c>
      <c r="G1001" s="8" t="s">
        <v>1147</v>
      </c>
      <c r="H1001" s="9" t="str">
        <f aca="false">HYPERLINK("https://vtmf.veevavault.com/ui/#doc_info/9461371/1/0", "VTMF-5542768")</f>
        <v>VTMF-5542768</v>
      </c>
    </row>
    <row r="1002" customFormat="false" ht="14.25" hidden="false" customHeight="true" outlineLevel="0" collapsed="false">
      <c r="E1002" s="8" t="s">
        <v>848</v>
      </c>
      <c r="F1002" s="9" t="str">
        <f aca="false">HYPERLINK("https://vtmf.veevavault.com/ui/#doc_info/13114622/1/0", "56021927PCR1019-MDA--IRB/IEC Approval-05 Jun 2020 (v1.0)")</f>
        <v>56021927PCR1019-MDA--IRB/IEC Approval-05 Jun 2020 (v1.0)</v>
      </c>
      <c r="G1002" s="8" t="s">
        <v>1148</v>
      </c>
      <c r="H1002" s="9" t="str">
        <f aca="false">HYPERLINK("https://vtmf.veevavault.com/ui/#doc_info/13114622/1/0", "VTMF-8940454")</f>
        <v>VTMF-8940454</v>
      </c>
    </row>
    <row r="1003" customFormat="false" ht="14.25" hidden="false" customHeight="true" outlineLevel="0" collapsed="false">
      <c r="E1003" s="8" t="s">
        <v>848</v>
      </c>
      <c r="F1003" s="9" t="str">
        <f aca="false">HYPERLINK("https://vtmf.veevavault.com/ui/#doc_info/6982978/1/0", "56021927PCR1019-MDA--IRB/IEC Approval-06 Jul 2016 (v1.0)")</f>
        <v>56021927PCR1019-MDA--IRB/IEC Approval-06 Jul 2016 (v1.0)</v>
      </c>
      <c r="G1003" s="8" t="s">
        <v>1149</v>
      </c>
      <c r="H1003" s="9" t="str">
        <f aca="false">HYPERLINK("https://vtmf.veevavault.com/ui/#doc_info/6982978/1/0", "VTMF-3191415")</f>
        <v>VTMF-3191415</v>
      </c>
    </row>
    <row r="1004" customFormat="false" ht="14.25" hidden="false" customHeight="true" outlineLevel="0" collapsed="false">
      <c r="E1004" s="8" t="s">
        <v>848</v>
      </c>
      <c r="F1004" s="9" t="str">
        <f aca="false">HYPERLINK("https://vtmf.veevavault.com/ui/#doc_info/19748545/1/0", "56021927PCR1019-MDA--IRB/IEC Approval-07 Jul 2021 (v1.0)")</f>
        <v>56021927PCR1019-MDA--IRB/IEC Approval-07 Jul 2021 (v1.0)</v>
      </c>
      <c r="G1004" s="8" t="s">
        <v>1150</v>
      </c>
      <c r="H1004" s="9" t="str">
        <f aca="false">HYPERLINK("https://vtmf.veevavault.com/ui/#doc_info/19748545/1/0", "VTMF-15301833")</f>
        <v>VTMF-15301833</v>
      </c>
    </row>
    <row r="1005" customFormat="false" ht="14.25" hidden="false" customHeight="true" outlineLevel="0" collapsed="false">
      <c r="E1005" s="8" t="s">
        <v>848</v>
      </c>
      <c r="F1005" s="9" t="str">
        <f aca="false">HYPERLINK("https://vtmf.veevavault.com/ui/#doc_info/7472339/1/0", "56021927PCR1019-MDA--IRB/IEC Approval-07 Oct 2016 (v1.0)")</f>
        <v>56021927PCR1019-MDA--IRB/IEC Approval-07 Oct 2016 (v1.0)</v>
      </c>
      <c r="G1005" s="8" t="s">
        <v>1151</v>
      </c>
      <c r="H1005" s="9" t="str">
        <f aca="false">HYPERLINK("https://vtmf.veevavault.com/ui/#doc_info/7472339/1/0", "VTMF-3660647")</f>
        <v>VTMF-3660647</v>
      </c>
    </row>
    <row r="1006" customFormat="false" ht="14.25" hidden="false" customHeight="true" outlineLevel="0" collapsed="false">
      <c r="E1006" s="8" t="s">
        <v>848</v>
      </c>
      <c r="F1006" s="9" t="str">
        <f aca="false">HYPERLINK("https://vtmf.veevavault.com/ui/#doc_info/23276023/1/0", "56021927PCR1019-MDA--IRB/IEC Approval-10 Jan 2023 (v1.0)")</f>
        <v>56021927PCR1019-MDA--IRB/IEC Approval-10 Jan 2023 (v1.0)</v>
      </c>
      <c r="G1006" s="8" t="s">
        <v>1152</v>
      </c>
      <c r="H1006" s="9" t="str">
        <f aca="false">HYPERLINK("https://vtmf.veevavault.com/ui/#doc_info/23276023/1/0", "VTMF-18400276")</f>
        <v>VTMF-18400276</v>
      </c>
    </row>
    <row r="1007" customFormat="false" ht="14.25" hidden="false" customHeight="true" outlineLevel="0" collapsed="false">
      <c r="E1007" s="8" t="s">
        <v>848</v>
      </c>
      <c r="F1007" s="9" t="str">
        <f aca="false">HYPERLINK("https://vtmf.veevavault.com/ui/#doc_info/13293815/1/0", "56021927PCR1019-MDA--IRB/IEC Approval-10 Jul 2020 (v1.0)")</f>
        <v>56021927PCR1019-MDA--IRB/IEC Approval-10 Jul 2020 (v1.0)</v>
      </c>
      <c r="G1007" s="8" t="s">
        <v>1153</v>
      </c>
      <c r="H1007" s="9" t="str">
        <f aca="false">HYPERLINK("https://vtmf.veevavault.com/ui/#doc_info/13293815/1/0", "VTMF-9099054")</f>
        <v>VTMF-9099054</v>
      </c>
    </row>
    <row r="1008" customFormat="false" ht="14.25" hidden="false" customHeight="true" outlineLevel="0" collapsed="false">
      <c r="E1008" s="8" t="s">
        <v>848</v>
      </c>
      <c r="F1008" s="9" t="str">
        <f aca="false">HYPERLINK("https://vtmf.veevavault.com/ui/#doc_info/5844441/1/0", "56021927PCR1019-MDA--IRB/IEC Approval-25 Nov 2015 (v1.0)")</f>
        <v>56021927PCR1019-MDA--IRB/IEC Approval-25 Nov 2015 (v1.0)</v>
      </c>
      <c r="G1008" s="8" t="s">
        <v>1154</v>
      </c>
      <c r="H1008" s="9" t="str">
        <f aca="false">HYPERLINK("https://vtmf.veevavault.com/ui/#doc_info/5844441/1/0", "VTMF-2073215")</f>
        <v>VTMF-2073215</v>
      </c>
    </row>
    <row r="1009" customFormat="false" ht="14.25" hidden="false" customHeight="true" outlineLevel="0" collapsed="false">
      <c r="E1009" s="8" t="s">
        <v>848</v>
      </c>
      <c r="F1009" s="9" t="str">
        <f aca="false">HYPERLINK("https://vtmf.veevavault.com/ui/#doc_info/13214748/1/0", "56021927PCR1019-MDA--IRB/IEC Approval-26 Jun 2020 (v1.0)")</f>
        <v>56021927PCR1019-MDA--IRB/IEC Approval-26 Jun 2020 (v1.0)</v>
      </c>
      <c r="G1009" s="8" t="s">
        <v>1155</v>
      </c>
      <c r="H1009" s="9" t="str">
        <f aca="false">HYPERLINK("https://vtmf.veevavault.com/ui/#doc_info/13214748/1/0", "VTMF-9021542")</f>
        <v>VTMF-9021542</v>
      </c>
    </row>
    <row r="1010" customFormat="false" ht="14.25" hidden="false" customHeight="true" outlineLevel="0" collapsed="false">
      <c r="E1010" s="8" t="s">
        <v>848</v>
      </c>
      <c r="F1010" s="9" t="str">
        <f aca="false">HYPERLINK("https://vtmf.veevavault.com/ui/#doc_info/21878776/1/0", "56021927PCR1019-MDA--IRB/IEC Approval-27 May 2022 (v1.0)")</f>
        <v>56021927PCR1019-MDA--IRB/IEC Approval-27 May 2022 (v1.0)</v>
      </c>
      <c r="G1010" s="8" t="s">
        <v>1156</v>
      </c>
      <c r="H1010" s="9" t="str">
        <f aca="false">HYPERLINK("https://vtmf.veevavault.com/ui/#doc_info/21878776/1/0", "VTMF-17187240")</f>
        <v>VTMF-17187240</v>
      </c>
    </row>
    <row r="1011" customFormat="false" ht="14.25" hidden="false" customHeight="true" outlineLevel="0" collapsed="false">
      <c r="E1011" s="8" t="s">
        <v>848</v>
      </c>
      <c r="F1011" s="9" t="str">
        <f aca="false">HYPERLINK("https://vtmf.veevavault.com/ui/#doc_info/10642139/1/0", "56021927PCR1019-MDA--IRB/IEC Approval-28 Feb 2019 (v1.0)")</f>
        <v>56021927PCR1019-MDA--IRB/IEC Approval-28 Feb 2019 (v1.0)</v>
      </c>
      <c r="G1011" s="8" t="s">
        <v>1157</v>
      </c>
      <c r="H1011" s="9" t="str">
        <f aca="false">HYPERLINK("https://vtmf.veevavault.com/ui/#doc_info/10642139/1/0", "VTMF-6637677")</f>
        <v>VTMF-6637677</v>
      </c>
    </row>
    <row r="1012" customFormat="false" ht="14.25" hidden="false" customHeight="true" outlineLevel="0" collapsed="false">
      <c r="E1012" s="8" t="s">
        <v>848</v>
      </c>
      <c r="F1012" s="9" t="str">
        <f aca="false">HYPERLINK("https://vtmf.veevavault.com/ui/#doc_info/15104028/1/0", "56021927PCR1019-MDA--IRB/IEC Approval-30 Oct 2020 (v1.0)")</f>
        <v>56021927PCR1019-MDA--IRB/IEC Approval-30 Oct 2020 (v1.0)</v>
      </c>
      <c r="G1012" s="8" t="s">
        <v>1158</v>
      </c>
      <c r="H1012" s="9" t="str">
        <f aca="false">HYPERLINK("https://vtmf.veevavault.com/ui/#doc_info/15104028/1/0", "VTMF-10837289")</f>
        <v>VTMF-10837289</v>
      </c>
    </row>
    <row r="1013" customFormat="false" ht="14.25" hidden="false" customHeight="true" outlineLevel="0" collapsed="false">
      <c r="E1013" s="8" t="s">
        <v>132</v>
      </c>
      <c r="F1013" s="9" t="str">
        <f aca="false">HYPERLINK("https://vtmf.veevavault.com/ui/#doc_info/8163751/1/0", "56021927PCR1020-MDA--Approval-02 May 2017 (v1.0)")</f>
        <v>56021927PCR1020-MDA--Approval-02 May 2017 (v1.0)</v>
      </c>
      <c r="G1013" s="8" t="s">
        <v>1159</v>
      </c>
      <c r="H1013" s="9" t="str">
        <f aca="false">HYPERLINK("https://vtmf.veevavault.com/ui/#doc_info/8163751/1/0", "VTMF-4319863")</f>
        <v>VTMF-4319863</v>
      </c>
    </row>
    <row r="1014" customFormat="false" ht="14.25" hidden="false" customHeight="true" outlineLevel="0" collapsed="false">
      <c r="E1014" s="8" t="s">
        <v>132</v>
      </c>
      <c r="F1014" s="9" t="str">
        <f aca="false">HYPERLINK("https://vtmf.veevavault.com/ui/#doc_info/9461404/1/0", "56021927PCR1020-MDA--Approval-03 Apr 2018 (v1.0)")</f>
        <v>56021927PCR1020-MDA--Approval-03 Apr 2018 (v1.0)</v>
      </c>
      <c r="G1014" s="8" t="s">
        <v>1160</v>
      </c>
      <c r="H1014" s="9" t="str">
        <f aca="false">HYPERLINK("https://vtmf.veevavault.com/ui/#doc_info/9461404/1/0", "VTMF-5542800")</f>
        <v>VTMF-5542800</v>
      </c>
    </row>
    <row r="1015" customFormat="false" ht="14.25" hidden="false" customHeight="true" outlineLevel="0" collapsed="false">
      <c r="E1015" s="8" t="s">
        <v>132</v>
      </c>
      <c r="F1015" s="9" t="str">
        <f aca="false">HYPERLINK("https://vtmf.veevavault.com/ui/#doc_info/9461406/1/0", "56021927PCR1020-MDA--Approval-03 Apr 2018 (v1.0)")</f>
        <v>56021927PCR1020-MDA--Approval-03 Apr 2018 (v1.0)</v>
      </c>
      <c r="G1015" s="8" t="s">
        <v>1161</v>
      </c>
      <c r="H1015" s="9" t="str">
        <f aca="false">HYPERLINK("https://vtmf.veevavault.com/ui/#doc_info/9461406/1/0", "VTMF-5542802")</f>
        <v>VTMF-5542802</v>
      </c>
    </row>
    <row r="1016" customFormat="false" ht="14.25" hidden="false" customHeight="true" outlineLevel="0" collapsed="false">
      <c r="E1016" s="8" t="s">
        <v>132</v>
      </c>
      <c r="F1016" s="9" t="str">
        <f aca="false">HYPERLINK("https://vtmf.veevavault.com/ui/#doc_info/19493177/1/0", "56021927PCR1020-MDA--Approval-03 Mar 2021 (v1.0)")</f>
        <v>56021927PCR1020-MDA--Approval-03 Mar 2021 (v1.0)</v>
      </c>
      <c r="G1016" s="8" t="s">
        <v>1162</v>
      </c>
      <c r="H1016" s="9" t="str">
        <f aca="false">HYPERLINK("https://vtmf.veevavault.com/ui/#doc_info/19493177/1/0", "VTMF-15077210")</f>
        <v>VTMF-15077210</v>
      </c>
    </row>
    <row r="1017" customFormat="false" ht="14.25" hidden="false" customHeight="true" outlineLevel="0" collapsed="false">
      <c r="E1017" s="8" t="s">
        <v>132</v>
      </c>
      <c r="F1017" s="9" t="str">
        <f aca="false">HYPERLINK("https://vtmf.veevavault.com/ui/#doc_info/10642166/1/0", "56021927PCR1020-MDA--Approval-05 Mar 2019 (v1.0)")</f>
        <v>56021927PCR1020-MDA--Approval-05 Mar 2019 (v1.0)</v>
      </c>
      <c r="G1017" s="8" t="s">
        <v>1163</v>
      </c>
      <c r="H1017" s="9" t="str">
        <f aca="false">HYPERLINK("https://vtmf.veevavault.com/ui/#doc_info/10642166/1/0", "VTMF-6637703")</f>
        <v>VTMF-6637703</v>
      </c>
    </row>
    <row r="1018" customFormat="false" ht="14.25" hidden="false" customHeight="true" outlineLevel="0" collapsed="false">
      <c r="E1018" s="8" t="s">
        <v>132</v>
      </c>
      <c r="F1018" s="9" t="str">
        <f aca="false">HYPERLINK("https://vtmf.veevavault.com/ui/#doc_info/15140103/1/0", "56021927PCR1020-MDA--Approval-09 Nov 2020 (v1.0)")</f>
        <v>56021927PCR1020-MDA--Approval-09 Nov 2020 (v1.0)</v>
      </c>
      <c r="G1018" s="8" t="s">
        <v>1139</v>
      </c>
      <c r="H1018" s="9" t="str">
        <f aca="false">HYPERLINK("https://vtmf.veevavault.com/ui/#doc_info/15140103/1/0", "VTMF-10865020")</f>
        <v>VTMF-10865020</v>
      </c>
    </row>
    <row r="1019" customFormat="false" ht="14.25" hidden="false" customHeight="true" outlineLevel="0" collapsed="false">
      <c r="E1019" s="8" t="s">
        <v>132</v>
      </c>
      <c r="F1019" s="9" t="str">
        <f aca="false">HYPERLINK("https://vtmf.veevavault.com/ui/#doc_info/8088581/1/0", "56021927PCR1020-MDA--Approval-10 Apr 2017 (v1.0)")</f>
        <v>56021927PCR1020-MDA--Approval-10 Apr 2017 (v1.0)</v>
      </c>
      <c r="G1019" s="8" t="s">
        <v>1164</v>
      </c>
      <c r="H1019" s="9" t="str">
        <f aca="false">HYPERLINK("https://vtmf.veevavault.com/ui/#doc_info/8088581/1/0", "VTMF-4248602")</f>
        <v>VTMF-4248602</v>
      </c>
    </row>
    <row r="1020" customFormat="false" ht="14.25" hidden="false" customHeight="true" outlineLevel="0" collapsed="false">
      <c r="E1020" s="8" t="s">
        <v>132</v>
      </c>
      <c r="F1020" s="9" t="str">
        <f aca="false">HYPERLINK("https://vtmf.veevavault.com/ui/#doc_info/5914718/1/0", "56021927PCR1020-MDA--Approval-12 Feb 2016 (v1.0)")</f>
        <v>56021927PCR1020-MDA--Approval-12 Feb 2016 (v1.0)</v>
      </c>
      <c r="G1020" s="8" t="s">
        <v>1165</v>
      </c>
      <c r="H1020" s="9" t="str">
        <f aca="false">HYPERLINK("https://vtmf.veevavault.com/ui/#doc_info/5914718/1/0", "VTMF-2142090")</f>
        <v>VTMF-2142090</v>
      </c>
    </row>
    <row r="1021" customFormat="false" ht="14.25" hidden="false" customHeight="true" outlineLevel="0" collapsed="false">
      <c r="E1021" s="8" t="s">
        <v>132</v>
      </c>
      <c r="F1021" s="9" t="str">
        <f aca="false">HYPERLINK("https://vtmf.veevavault.com/ui/#doc_info/6564230/1/0", "56021927PCR1020-MDA--Approval-16 May 2016 (v1.0)")</f>
        <v>56021927PCR1020-MDA--Approval-16 May 2016 (v1.0)</v>
      </c>
      <c r="G1021" s="8" t="s">
        <v>1166</v>
      </c>
      <c r="H1021" s="9" t="str">
        <f aca="false">HYPERLINK("https://vtmf.veevavault.com/ui/#doc_info/6564230/1/0", "VTMF-2783117")</f>
        <v>VTMF-2783117</v>
      </c>
    </row>
    <row r="1022" customFormat="false" ht="14.25" hidden="false" customHeight="true" outlineLevel="0" collapsed="false">
      <c r="E1022" s="8" t="s">
        <v>132</v>
      </c>
      <c r="F1022" s="9" t="str">
        <f aca="false">HYPERLINK("https://vtmf.veevavault.com/ui/#doc_info/22027962/1/0", "56021927PCR1020-MDA--Approval-17 Jun 2022 (v1.0)")</f>
        <v>56021927PCR1020-MDA--Approval-17 Jun 2022 (v1.0)</v>
      </c>
      <c r="G1022" s="8" t="s">
        <v>1167</v>
      </c>
      <c r="H1022" s="9" t="str">
        <f aca="false">HYPERLINK("https://vtmf.veevavault.com/ui/#doc_info/22027962/1/0", "VTMF-17318789")</f>
        <v>VTMF-17318789</v>
      </c>
    </row>
    <row r="1023" customFormat="false" ht="14.25" hidden="false" customHeight="true" outlineLevel="0" collapsed="false">
      <c r="E1023" s="8" t="s">
        <v>132</v>
      </c>
      <c r="F1023" s="9" t="str">
        <f aca="false">HYPERLINK("https://vtmf.veevavault.com/ui/#doc_info/24572194/1/0", "56021927PCR1020-MDA--Approval-18 Jul 2023 (v1.0)")</f>
        <v>56021927PCR1020-MDA--Approval-18 Jul 2023 (v1.0)</v>
      </c>
      <c r="G1023" s="8" t="s">
        <v>1168</v>
      </c>
      <c r="H1023" s="9" t="str">
        <f aca="false">HYPERLINK("https://vtmf.veevavault.com/ui/#doc_info/24572194/1/0", "VTMF-19528319")</f>
        <v>VTMF-19528319</v>
      </c>
    </row>
    <row r="1024" customFormat="false" ht="14.25" hidden="false" customHeight="true" outlineLevel="0" collapsed="false">
      <c r="E1024" s="8" t="s">
        <v>132</v>
      </c>
      <c r="F1024" s="9" t="str">
        <f aca="false">HYPERLINK("https://vtmf.veevavault.com/ui/#doc_info/5961140/1/0", "56021927PCR1020-MDA--Approval-19 Feb 2016 (v1.0)")</f>
        <v>56021927PCR1020-MDA--Approval-19 Feb 2016 (v1.0)</v>
      </c>
      <c r="G1024" s="8" t="s">
        <v>1169</v>
      </c>
      <c r="H1024" s="9" t="str">
        <f aca="false">HYPERLINK("https://vtmf.veevavault.com/ui/#doc_info/5961140/1/0", "VTMF-2187985")</f>
        <v>VTMF-2187985</v>
      </c>
    </row>
    <row r="1025" customFormat="false" ht="14.25" hidden="false" customHeight="true" outlineLevel="0" collapsed="false">
      <c r="E1025" s="8" t="s">
        <v>132</v>
      </c>
      <c r="F1025" s="9" t="str">
        <f aca="false">HYPERLINK("https://vtmf.veevavault.com/ui/#doc_info/23273263/1/0", "56021927PCR1020-MDA--Approval-21 Dec 2022 (v1.0)")</f>
        <v>56021927PCR1020-MDA--Approval-21 Dec 2022 (v1.0)</v>
      </c>
      <c r="G1025" s="8" t="s">
        <v>1170</v>
      </c>
      <c r="H1025" s="9" t="str">
        <f aca="false">HYPERLINK("https://vtmf.veevavault.com/ui/#doc_info/23273263/1/0", "VTMF-18398095")</f>
        <v>VTMF-18398095</v>
      </c>
    </row>
    <row r="1026" customFormat="false" ht="14.25" hidden="false" customHeight="true" outlineLevel="0" collapsed="false">
      <c r="E1026" s="8" t="s">
        <v>132</v>
      </c>
      <c r="F1026" s="9" t="str">
        <f aca="false">HYPERLINK("https://vtmf.veevavault.com/ui/#doc_info/23273382/1/0", "56021927PCR1020-MDA--Approval-21 Dec 2022 (v1.0)")</f>
        <v>56021927PCR1020-MDA--Approval-21 Dec 2022 (v1.0)</v>
      </c>
      <c r="G1026" s="8" t="s">
        <v>1171</v>
      </c>
      <c r="H1026" s="9" t="str">
        <f aca="false">HYPERLINK("https://vtmf.veevavault.com/ui/#doc_info/23273382/1/0", "VTMF-18398170")</f>
        <v>VTMF-18398170</v>
      </c>
    </row>
    <row r="1027" customFormat="false" ht="14.25" hidden="false" customHeight="true" outlineLevel="0" collapsed="false">
      <c r="E1027" s="8" t="s">
        <v>132</v>
      </c>
      <c r="F1027" s="9" t="str">
        <f aca="false">HYPERLINK("https://vtmf.veevavault.com/ui/#doc_info/13335438/1/0", "56021927PCR1020-MDA--Approval-21 Jul 2020 (v1.0)")</f>
        <v>56021927PCR1020-MDA--Approval-21 Jul 2020 (v1.0)</v>
      </c>
      <c r="G1027" s="8" t="s">
        <v>1172</v>
      </c>
      <c r="H1027" s="9" t="str">
        <f aca="false">HYPERLINK("https://vtmf.veevavault.com/ui/#doc_info/13335438/1/0", "VTMF-9139617")</f>
        <v>VTMF-9139617</v>
      </c>
    </row>
    <row r="1028" customFormat="false" ht="14.25" hidden="false" customHeight="true" outlineLevel="0" collapsed="false">
      <c r="E1028" s="8" t="s">
        <v>132</v>
      </c>
      <c r="F1028" s="9" t="str">
        <f aca="false">HYPERLINK("https://vtmf.veevavault.com/ui/#doc_info/13335439/1/0", "56021927PCR1020-MDA--Approval-21 Jul 2020 (v1.0)")</f>
        <v>56021927PCR1020-MDA--Approval-21 Jul 2020 (v1.0)</v>
      </c>
      <c r="G1028" s="8" t="s">
        <v>1173</v>
      </c>
      <c r="H1028" s="9" t="str">
        <f aca="false">HYPERLINK("https://vtmf.veevavault.com/ui/#doc_info/13335439/1/0", "VTMF-9139621")</f>
        <v>VTMF-9139621</v>
      </c>
    </row>
    <row r="1029" customFormat="false" ht="14.25" hidden="false" customHeight="true" outlineLevel="0" collapsed="false">
      <c r="E1029" s="8" t="s">
        <v>132</v>
      </c>
      <c r="F1029" s="9" t="str">
        <f aca="false">HYPERLINK("https://vtmf.veevavault.com/ui/#doc_info/13335440/1/0", "56021927PCR1020-MDA--Approval-21 Jul 2020 (v1.0)")</f>
        <v>56021927PCR1020-MDA--Approval-21 Jul 2020 (v1.0)</v>
      </c>
      <c r="G1029" s="8" t="s">
        <v>1174</v>
      </c>
      <c r="H1029" s="9" t="str">
        <f aca="false">HYPERLINK("https://vtmf.veevavault.com/ui/#doc_info/13335440/1/0", "VTMF-9139620")</f>
        <v>VTMF-9139620</v>
      </c>
    </row>
    <row r="1030" customFormat="false" ht="14.25" hidden="false" customHeight="true" outlineLevel="0" collapsed="false">
      <c r="E1030" s="8" t="s">
        <v>132</v>
      </c>
      <c r="F1030" s="9" t="str">
        <f aca="false">HYPERLINK("https://vtmf.veevavault.com/ui/#doc_info/19834319/1/0", "56021927PCR1020-MDA--Approval-21 Jul 2021 (v1.0)")</f>
        <v>56021927PCR1020-MDA--Approval-21 Jul 2021 (v1.0)</v>
      </c>
      <c r="G1030" s="8" t="s">
        <v>1175</v>
      </c>
      <c r="H1030" s="9" t="str">
        <f aca="false">HYPERLINK("https://vtmf.veevavault.com/ui/#doc_info/19834319/1/0", "VTMF-15377134")</f>
        <v>VTMF-15377134</v>
      </c>
    </row>
    <row r="1031" customFormat="false" ht="14.25" hidden="false" customHeight="true" outlineLevel="0" collapsed="false">
      <c r="E1031" s="8" t="s">
        <v>132</v>
      </c>
      <c r="F1031" s="9" t="str">
        <f aca="false">HYPERLINK("https://vtmf.veevavault.com/ui/#doc_info/9209880/1/0", "56021927PCR1020-MDA--Approval-22 Dec 2017 (v1.0)")</f>
        <v>56021927PCR1020-MDA--Approval-22 Dec 2017 (v1.0)</v>
      </c>
      <c r="G1031" s="8" t="s">
        <v>1176</v>
      </c>
      <c r="H1031" s="9" t="str">
        <f aca="false">HYPERLINK("https://vtmf.veevavault.com/ui/#doc_info/9209880/1/0", "VTMF-5305221")</f>
        <v>VTMF-5305221</v>
      </c>
    </row>
    <row r="1032" customFormat="false" ht="14.25" hidden="false" customHeight="true" outlineLevel="0" collapsed="false">
      <c r="E1032" s="8" t="s">
        <v>132</v>
      </c>
      <c r="F1032" s="9" t="str">
        <f aca="false">HYPERLINK("https://vtmf.veevavault.com/ui/#doc_info/7474454/1/0", "56021927PCR1020-MDA--Approval-26 Oct 2016 (v1.0)")</f>
        <v>56021927PCR1020-MDA--Approval-26 Oct 2016 (v1.0)</v>
      </c>
      <c r="G1032" s="8" t="s">
        <v>1177</v>
      </c>
      <c r="H1032" s="9" t="str">
        <f aca="false">HYPERLINK("https://vtmf.veevavault.com/ui/#doc_info/7474454/1/0", "VTMF-3662773")</f>
        <v>VTMF-3662773</v>
      </c>
    </row>
    <row r="1033" customFormat="false" ht="14.25" hidden="false" customHeight="true" outlineLevel="0" collapsed="false">
      <c r="E1033" s="8" t="s">
        <v>132</v>
      </c>
      <c r="F1033" s="9" t="str">
        <f aca="false">HYPERLINK("https://vtmf.veevavault.com/ui/#doc_info/11231442/1/0", "56021927PCR1020-MDA--Approval-27 Jun 2019 (v1.0)")</f>
        <v>56021927PCR1020-MDA--Approval-27 Jun 2019 (v1.0)</v>
      </c>
      <c r="G1033" s="8" t="s">
        <v>1178</v>
      </c>
      <c r="H1033" s="9" t="str">
        <f aca="false">HYPERLINK("https://vtmf.veevavault.com/ui/#doc_info/11231442/1/0", "VTMF-7185750")</f>
        <v>VTMF-7185750</v>
      </c>
    </row>
    <row r="1034" customFormat="false" ht="14.25" hidden="false" customHeight="true" outlineLevel="0" collapsed="false">
      <c r="E1034" s="8" t="s">
        <v>848</v>
      </c>
      <c r="F1034" s="9" t="str">
        <f aca="false">HYPERLINK("https://vtmf.veevavault.com/ui/#doc_info/11231441/1/0", "56021927PCR1020-MDA--IRB/IEC Approval-02 Jul 2019 (v1.0)")</f>
        <v>56021927PCR1020-MDA--IRB/IEC Approval-02 Jul 2019 (v1.0)</v>
      </c>
      <c r="G1034" s="8" t="s">
        <v>1179</v>
      </c>
      <c r="H1034" s="9" t="str">
        <f aca="false">HYPERLINK("https://vtmf.veevavault.com/ui/#doc_info/11231441/1/0", "VTMF-7185749")</f>
        <v>VTMF-7185749</v>
      </c>
    </row>
    <row r="1035" customFormat="false" ht="14.25" hidden="false" customHeight="true" outlineLevel="0" collapsed="false">
      <c r="E1035" s="8" t="s">
        <v>848</v>
      </c>
      <c r="F1035" s="9" t="str">
        <f aca="false">HYPERLINK("https://vtmf.veevavault.com/ui/#doc_info/8088712/1/0", "56021927PCR1020-MDA--IRB/IEC Approval-03 Apr 2017 (v1.0)")</f>
        <v>56021927PCR1020-MDA--IRB/IEC Approval-03 Apr 2017 (v1.0)</v>
      </c>
      <c r="G1035" s="8" t="s">
        <v>1180</v>
      </c>
      <c r="H1035" s="9" t="str">
        <f aca="false">HYPERLINK("https://vtmf.veevavault.com/ui/#doc_info/8088712/1/0", "VTMF-4248735")</f>
        <v>VTMF-4248735</v>
      </c>
    </row>
    <row r="1036" customFormat="false" ht="14.25" hidden="false" customHeight="true" outlineLevel="0" collapsed="false">
      <c r="E1036" s="8" t="s">
        <v>848</v>
      </c>
      <c r="F1036" s="9" t="str">
        <f aca="false">HYPERLINK("https://vtmf.veevavault.com/ui/#doc_info/8094991/1/0", "56021927PCR1020-MDA--IRB/IEC Approval-03 Apr 2017 (v1.0)")</f>
        <v>56021927PCR1020-MDA--IRB/IEC Approval-03 Apr 2017 (v1.0)</v>
      </c>
      <c r="G1036" s="8" t="s">
        <v>1181</v>
      </c>
      <c r="H1036" s="9" t="str">
        <f aca="false">HYPERLINK("https://vtmf.veevavault.com/ui/#doc_info/8094991/1/0", "VTMF-4254547")</f>
        <v>VTMF-4254547</v>
      </c>
    </row>
    <row r="1037" customFormat="false" ht="14.25" hidden="false" customHeight="true" outlineLevel="0" collapsed="false">
      <c r="E1037" s="8" t="s">
        <v>848</v>
      </c>
      <c r="F1037" s="9" t="str">
        <f aca="false">HYPERLINK("https://vtmf.veevavault.com/ui/#doc_info/5914723/1/0", "56021927PCR1020-MDA--IRB/IEC Approval-03 Feb 2016 (v1.0)")</f>
        <v>56021927PCR1020-MDA--IRB/IEC Approval-03 Feb 2016 (v1.0)</v>
      </c>
      <c r="G1037" s="8" t="s">
        <v>1182</v>
      </c>
      <c r="H1037" s="9" t="str">
        <f aca="false">HYPERLINK("https://vtmf.veevavault.com/ui/#doc_info/5914723/1/0", "VTMF-2142096")</f>
        <v>VTMF-2142096</v>
      </c>
    </row>
    <row r="1038" customFormat="false" ht="14.25" hidden="false" customHeight="true" outlineLevel="0" collapsed="false">
      <c r="E1038" s="8" t="s">
        <v>848</v>
      </c>
      <c r="F1038" s="9" t="str">
        <f aca="false">HYPERLINK("https://vtmf.veevavault.com/ui/#doc_info/9209901/1/0", "56021927PCR1020-MDA--IRB/IEC Approval-04 Jan 2018 (v1.0)")</f>
        <v>56021927PCR1020-MDA--IRB/IEC Approval-04 Jan 2018 (v1.0)</v>
      </c>
      <c r="G1038" s="8" t="s">
        <v>1183</v>
      </c>
      <c r="H1038" s="9" t="str">
        <f aca="false">HYPERLINK("https://vtmf.veevavault.com/ui/#doc_info/9209901/1/0", "VTMF-5305239")</f>
        <v>VTMF-5305239</v>
      </c>
    </row>
    <row r="1039" customFormat="false" ht="14.25" hidden="false" customHeight="true" outlineLevel="0" collapsed="false">
      <c r="E1039" s="8" t="s">
        <v>848</v>
      </c>
      <c r="F1039" s="9" t="str">
        <f aca="false">HYPERLINK("https://vtmf.veevavault.com/ui/#doc_info/9461444/1/0", "56021927PCR1020-MDA--IRB/IEC Approval-05 Apr 2018 (v1.0)")</f>
        <v>56021927PCR1020-MDA--IRB/IEC Approval-05 Apr 2018 (v1.0)</v>
      </c>
      <c r="G1039" s="8" t="s">
        <v>1184</v>
      </c>
      <c r="H1039" s="9" t="str">
        <f aca="false">HYPERLINK("https://vtmf.veevavault.com/ui/#doc_info/9461444/1/0", "VTMF-5542829")</f>
        <v>VTMF-5542829</v>
      </c>
    </row>
    <row r="1040" customFormat="false" ht="14.25" hidden="false" customHeight="true" outlineLevel="0" collapsed="false">
      <c r="E1040" s="8" t="s">
        <v>848</v>
      </c>
      <c r="F1040" s="9" t="str">
        <f aca="false">HYPERLINK("https://vtmf.veevavault.com/ui/#doc_info/9461445/1/0", "56021927PCR1020-MDA--IRB/IEC Approval-05 Apr 2018 (v1.0)")</f>
        <v>56021927PCR1020-MDA--IRB/IEC Approval-05 Apr 2018 (v1.0)</v>
      </c>
      <c r="G1040" s="8" t="s">
        <v>1185</v>
      </c>
      <c r="H1040" s="9" t="str">
        <f aca="false">HYPERLINK("https://vtmf.veevavault.com/ui/#doc_info/9461445/1/0", "VTMF-5542830")</f>
        <v>VTMF-5542830</v>
      </c>
    </row>
    <row r="1041" customFormat="false" ht="14.25" hidden="false" customHeight="true" outlineLevel="0" collapsed="false">
      <c r="E1041" s="8" t="s">
        <v>848</v>
      </c>
      <c r="F1041" s="9" t="str">
        <f aca="false">HYPERLINK("https://vtmf.veevavault.com/ui/#doc_info/13114620/1/0", "56021927PCR1020-MDA--IRB/IEC Approval-05 Jun 2020 (v1.0)")</f>
        <v>56021927PCR1020-MDA--IRB/IEC Approval-05 Jun 2020 (v1.0)</v>
      </c>
      <c r="G1041" s="8" t="s">
        <v>1148</v>
      </c>
      <c r="H1041" s="9" t="str">
        <f aca="false">HYPERLINK("https://vtmf.veevavault.com/ui/#doc_info/13114620/1/0", "VTMF-8940452")</f>
        <v>VTMF-8940452</v>
      </c>
    </row>
    <row r="1042" customFormat="false" ht="14.25" hidden="false" customHeight="true" outlineLevel="0" collapsed="false">
      <c r="E1042" s="8" t="s">
        <v>848</v>
      </c>
      <c r="F1042" s="9" t="str">
        <f aca="false">HYPERLINK("https://vtmf.veevavault.com/ui/#doc_info/24759196/1/0", "56021927PCR1020-MDA--IRB/IEC Approval-05 Sep 2023 (v1.0)")</f>
        <v>56021927PCR1020-MDA--IRB/IEC Approval-05 Sep 2023 (v1.0)</v>
      </c>
      <c r="G1042" s="8" t="s">
        <v>1186</v>
      </c>
      <c r="H1042" s="9" t="str">
        <f aca="false">HYPERLINK("https://vtmf.veevavault.com/ui/#doc_info/24759196/1/0", "VTMF-19690351")</f>
        <v>VTMF-19690351</v>
      </c>
    </row>
    <row r="1043" customFormat="false" ht="14.25" hidden="false" customHeight="true" outlineLevel="0" collapsed="false">
      <c r="E1043" s="8" t="s">
        <v>848</v>
      </c>
      <c r="F1043" s="9" t="str">
        <f aca="false">HYPERLINK("https://vtmf.veevavault.com/ui/#doc_info/19748629/1/0", "56021927PCR1020-MDA--IRB/IEC Approval-07 Jul 2021 (v1.0)")</f>
        <v>56021927PCR1020-MDA--IRB/IEC Approval-07 Jul 2021 (v1.0)</v>
      </c>
      <c r="G1043" s="8" t="s">
        <v>1187</v>
      </c>
      <c r="H1043" s="9" t="str">
        <f aca="false">HYPERLINK("https://vtmf.veevavault.com/ui/#doc_info/19748629/1/0", "VTMF-15301914")</f>
        <v>VTMF-15301914</v>
      </c>
    </row>
    <row r="1044" customFormat="false" ht="14.25" hidden="false" customHeight="true" outlineLevel="0" collapsed="false">
      <c r="E1044" s="8" t="s">
        <v>848</v>
      </c>
      <c r="F1044" s="9" t="str">
        <f aca="false">HYPERLINK("https://vtmf.veevavault.com/ui/#doc_info/7474482/1/0", "56021927PCR1020-MDA--IRB/IEC Approval-07 Oct 2016 (v1.0)")</f>
        <v>56021927PCR1020-MDA--IRB/IEC Approval-07 Oct 2016 (v1.0)</v>
      </c>
      <c r="G1044" s="8" t="s">
        <v>1188</v>
      </c>
      <c r="H1044" s="9" t="str">
        <f aca="false">HYPERLINK("https://vtmf.veevavault.com/ui/#doc_info/7474482/1/0", "VTMF-3662792")</f>
        <v>VTMF-3662792</v>
      </c>
    </row>
    <row r="1045" customFormat="false" ht="14.25" hidden="false" customHeight="true" outlineLevel="0" collapsed="false">
      <c r="E1045" s="8" t="s">
        <v>848</v>
      </c>
      <c r="F1045" s="9" t="str">
        <f aca="false">HYPERLINK("https://vtmf.veevavault.com/ui/#doc_info/23273208/1/0", "56021927PCR1020-MDA--IRB/IEC Approval-10 Jan 2023 (v1.0)")</f>
        <v>56021927PCR1020-MDA--IRB/IEC Approval-10 Jan 2023 (v1.0)</v>
      </c>
      <c r="G1045" s="8" t="s">
        <v>1189</v>
      </c>
      <c r="H1045" s="9" t="str">
        <f aca="false">HYPERLINK("https://vtmf.veevavault.com/ui/#doc_info/23273208/1/0", "VTMF-18398059")</f>
        <v>VTMF-18398059</v>
      </c>
    </row>
    <row r="1046" customFormat="false" ht="14.25" hidden="false" customHeight="true" outlineLevel="0" collapsed="false">
      <c r="E1046" s="8" t="s">
        <v>848</v>
      </c>
      <c r="F1046" s="9" t="str">
        <f aca="false">HYPERLINK("https://vtmf.veevavault.com/ui/#doc_info/13293831/1/0", "56021927PCR1020-MDA--IRB/IEC Approval-10 Jul 2020 (v1.0)")</f>
        <v>56021927PCR1020-MDA--IRB/IEC Approval-10 Jul 2020 (v1.0)</v>
      </c>
      <c r="G1046" s="8" t="s">
        <v>1153</v>
      </c>
      <c r="H1046" s="9" t="str">
        <f aca="false">HYPERLINK("https://vtmf.veevavault.com/ui/#doc_info/13293831/1/0", "VTMF-9099053")</f>
        <v>VTMF-9099053</v>
      </c>
    </row>
    <row r="1047" customFormat="false" ht="14.25" hidden="false" customHeight="true" outlineLevel="0" collapsed="false">
      <c r="E1047" s="8" t="s">
        <v>848</v>
      </c>
      <c r="F1047" s="9" t="str">
        <f aca="false">HYPERLINK("https://vtmf.veevavault.com/ui/#doc_info/23273141/1/0", "56021927PCR1020-MDA--IRB/IEC Approval-19 Dec 2022 (v1.0)")</f>
        <v>56021927PCR1020-MDA--IRB/IEC Approval-19 Dec 2022 (v1.0)</v>
      </c>
      <c r="G1047" s="8" t="s">
        <v>1190</v>
      </c>
      <c r="H1047" s="9" t="str">
        <f aca="false">HYPERLINK("https://vtmf.veevavault.com/ui/#doc_info/23273141/1/0", "VTMF-18398012")</f>
        <v>VTMF-18398012</v>
      </c>
    </row>
    <row r="1048" customFormat="false" ht="14.25" hidden="false" customHeight="true" outlineLevel="0" collapsed="false">
      <c r="E1048" s="8" t="s">
        <v>848</v>
      </c>
      <c r="F1048" s="9" t="str">
        <f aca="false">HYPERLINK("https://vtmf.veevavault.com/ui/#doc_info/13214716/1/0", "56021927PCR1020-MDA--IRB/IEC Approval-26 Jun 2020 (v1.0)")</f>
        <v>56021927PCR1020-MDA--IRB/IEC Approval-26 Jun 2020 (v1.0)</v>
      </c>
      <c r="G1048" s="8" t="s">
        <v>1155</v>
      </c>
      <c r="H1048" s="9" t="str">
        <f aca="false">HYPERLINK("https://vtmf.veevavault.com/ui/#doc_info/13214716/1/0", "VTMF-9021543")</f>
        <v>VTMF-9021543</v>
      </c>
    </row>
    <row r="1049" customFormat="false" ht="14.25" hidden="false" customHeight="true" outlineLevel="0" collapsed="false">
      <c r="E1049" s="8" t="s">
        <v>848</v>
      </c>
      <c r="F1049" s="9" t="str">
        <f aca="false">HYPERLINK("https://vtmf.veevavault.com/ui/#doc_info/21878718/1/0", "56021927PCR1020-MDA--IRB/IEC Approval-27 May 2022 (v1.0)")</f>
        <v>56021927PCR1020-MDA--IRB/IEC Approval-27 May 2022 (v1.0)</v>
      </c>
      <c r="G1049" s="8" t="s">
        <v>1191</v>
      </c>
      <c r="H1049" s="9" t="str">
        <f aca="false">HYPERLINK("https://vtmf.veevavault.com/ui/#doc_info/21878718/1/0", "VTMF-17187187")</f>
        <v>VTMF-17187187</v>
      </c>
    </row>
    <row r="1050" customFormat="false" ht="14.25" hidden="false" customHeight="true" outlineLevel="0" collapsed="false">
      <c r="E1050" s="8" t="s">
        <v>848</v>
      </c>
      <c r="F1050" s="9" t="str">
        <f aca="false">HYPERLINK("https://vtmf.veevavault.com/ui/#doc_info/10643137/1/0", "56021927PCR1020-MDA--IRB/IEC Approval-28 Feb 2019 (v1.0)")</f>
        <v>56021927PCR1020-MDA--IRB/IEC Approval-28 Feb 2019 (v1.0)</v>
      </c>
      <c r="G1050" s="8" t="s">
        <v>1192</v>
      </c>
      <c r="H1050" s="9" t="str">
        <f aca="false">HYPERLINK("https://vtmf.veevavault.com/ui/#doc_info/10643137/1/0", "VTMF-6638641")</f>
        <v>VTMF-6638641</v>
      </c>
    </row>
    <row r="1051" customFormat="false" ht="14.25" hidden="false" customHeight="true" outlineLevel="0" collapsed="false">
      <c r="E1051" s="8" t="s">
        <v>848</v>
      </c>
      <c r="F1051" s="9" t="str">
        <f aca="false">HYPERLINK("https://vtmf.veevavault.com/ui/#doc_info/6221335/1/0", "56021927PCR1020-MDA--IRB/IEC Approval-29 Feb 2016 (v1.0)")</f>
        <v>56021927PCR1020-MDA--IRB/IEC Approval-29 Feb 2016 (v1.0)</v>
      </c>
      <c r="G1051" s="8" t="s">
        <v>1193</v>
      </c>
      <c r="H1051" s="9" t="str">
        <f aca="false">HYPERLINK("https://vtmf.veevavault.com/ui/#doc_info/6221335/1/0", "VTMF-2446477")</f>
        <v>VTMF-2446477</v>
      </c>
    </row>
    <row r="1052" customFormat="false" ht="14.25" hidden="false" customHeight="true" outlineLevel="0" collapsed="false">
      <c r="E1052" s="8" t="s">
        <v>848</v>
      </c>
      <c r="F1052" s="9" t="str">
        <f aca="false">HYPERLINK("https://vtmf.veevavault.com/ui/#doc_info/15104011/1/0", "56021927PCR1020-MDA--IRB/IEC Approval-30 Oct 2020 (v1.0)")</f>
        <v>56021927PCR1020-MDA--IRB/IEC Approval-30 Oct 2020 (v1.0)</v>
      </c>
      <c r="G1052" s="8" t="s">
        <v>1194</v>
      </c>
      <c r="H1052" s="9" t="str">
        <f aca="false">HYPERLINK("https://vtmf.veevavault.com/ui/#doc_info/15104011/1/0", "VTMF-10837322")</f>
        <v>VTMF-10837322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2.43"/>
    <col collapsed="false" customWidth="true" hidden="false" outlineLevel="0" max="2" min="2" style="0" width="34.71"/>
    <col collapsed="false" customWidth="true" hidden="false" outlineLevel="0" max="3" min="3" style="0" width="14.86"/>
    <col collapsed="false" customWidth="true" hidden="false" outlineLevel="0" max="4" min="4" style="0" width="20.71"/>
    <col collapsed="false" customWidth="true" hidden="false" outlineLevel="0" max="5" min="5" style="0" width="29.14"/>
    <col collapsed="false" customWidth="true" hidden="false" outlineLevel="0" max="6" min="6" style="0" width="24.29"/>
    <col collapsed="false" customWidth="true" hidden="false" outlineLevel="0" max="7" min="7" style="0" width="15.57"/>
    <col collapsed="false" customWidth="true" hidden="false" outlineLevel="0" max="8" min="8" style="0" width="11.71"/>
  </cols>
  <sheetData>
    <row r="1" customFormat="false" ht="51.75" hidden="false" customHeight="true" outlineLevel="0" collapsed="false">
      <c r="A1" s="5" t="s">
        <v>119</v>
      </c>
      <c r="B1" s="6" t="s">
        <v>1195</v>
      </c>
      <c r="C1" s="7" t="s">
        <v>1196</v>
      </c>
      <c r="D1" s="5" t="s">
        <v>127</v>
      </c>
      <c r="E1" s="6" t="s">
        <v>1197</v>
      </c>
      <c r="F1" s="6" t="s">
        <v>1198</v>
      </c>
      <c r="G1" s="6" t="s">
        <v>1199</v>
      </c>
      <c r="H1" s="6" t="s">
        <v>130</v>
      </c>
    </row>
    <row r="2" customFormat="false" ht="14.25" hidden="false" customHeight="true" outlineLevel="0" collapsed="false">
      <c r="B2" s="8" t="s">
        <v>1200</v>
      </c>
      <c r="C2" s="9" t="str">
        <f aca="false">HYPERLINK("https://vtmf.veevavault.com/ui/#doc_info/8195563/11/0", "VTMF-4350053")</f>
        <v>VTMF-4350053</v>
      </c>
    </row>
    <row r="3" customFormat="false" ht="14.25" hidden="false" customHeight="true" outlineLevel="0" collapsed="false">
      <c r="B3" s="8" t="s">
        <v>1201</v>
      </c>
      <c r="C3" s="9" t="str">
        <f aca="false">HYPERLINK("https://vtmf.veevavault.com/ui/#doc_info/15920330/13/0", "VTMF-11601191")</f>
        <v>VTMF-11601191</v>
      </c>
    </row>
    <row r="4" customFormat="false" ht="14.25" hidden="false" customHeight="true" outlineLevel="0" collapsed="false">
      <c r="B4" s="8" t="s">
        <v>1202</v>
      </c>
      <c r="C4" s="9" t="str">
        <f aca="false">HYPERLINK("https://vtmf.veevavault.com/ui/#doc_info/10125728/9/0", "VTMF-6162096")</f>
        <v>VTMF-6162096</v>
      </c>
    </row>
    <row r="5" customFormat="false" ht="14.25" hidden="false" customHeight="true" outlineLevel="0" collapsed="false">
      <c r="B5" s="8" t="s">
        <v>1203</v>
      </c>
      <c r="C5" s="9" t="str">
        <f aca="false">HYPERLINK("https://vtmf.veevavault.com/ui/#doc_info/11139649/14/0", "VTMF-7100036")</f>
        <v>VTMF-7100036</v>
      </c>
    </row>
    <row r="6" customFormat="false" ht="14.25" hidden="false" customHeight="true" outlineLevel="0" collapsed="false">
      <c r="B6" s="8" t="s">
        <v>1204</v>
      </c>
      <c r="C6" s="9" t="str">
        <f aca="false">HYPERLINK("https://vtmf.veevavault.com/ui/#doc_info/24060347/1/0", "VTMF-19079551")</f>
        <v>VTMF-19079551</v>
      </c>
    </row>
    <row r="7" customFormat="false" ht="14.25" hidden="false" customHeight="true" outlineLevel="0" collapsed="false">
      <c r="B7" s="8" t="s">
        <v>1205</v>
      </c>
      <c r="C7" s="9" t="str">
        <f aca="false">HYPERLINK("https://vtmf.veevavault.com/ui/#doc_info/11124318/11/0", "VTMF-7085910")</f>
        <v>VTMF-7085910</v>
      </c>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2.86"/>
    <col collapsed="false" customWidth="true" hidden="false" outlineLevel="0" max="2" min="2" style="0" width="12.71"/>
    <col collapsed="false" customWidth="true" hidden="false" outlineLevel="0" max="3" min="3" style="0" width="10.13"/>
    <col collapsed="false" customWidth="true" hidden="false" outlineLevel="0" max="4" min="4" style="0" width="16.43"/>
    <col collapsed="false" customWidth="true" hidden="false" outlineLevel="0" max="5" min="5" style="0" width="12.71"/>
    <col collapsed="false" customWidth="true" hidden="false" outlineLevel="0" max="6" min="6" style="0" width="13.43"/>
    <col collapsed="false" customWidth="true" hidden="false" outlineLevel="0" max="7" min="7" style="0" width="26.86"/>
    <col collapsed="false" customWidth="true" hidden="false" outlineLevel="0" max="8" min="8" style="0" width="20.71"/>
    <col collapsed="false" customWidth="true" hidden="false" outlineLevel="0" max="9" min="9" style="0" width="17"/>
    <col collapsed="false" customWidth="true" hidden="false" outlineLevel="0" max="10" min="10" style="0" width="10.13"/>
    <col collapsed="false" customWidth="true" hidden="false" outlineLevel="0" max="11" min="11" style="0" width="12.71"/>
    <col collapsed="false" customWidth="true" hidden="false" outlineLevel="0" max="12" min="12" style="0" width="9.71"/>
    <col collapsed="false" customWidth="true" hidden="false" outlineLevel="0" max="13" min="13" style="0" width="18"/>
    <col collapsed="false" customWidth="true" hidden="false" outlineLevel="0" max="14" min="14" style="0" width="10.13"/>
    <col collapsed="false" customWidth="true" hidden="false" outlineLevel="0" max="15" min="15" style="0" width="14.86"/>
    <col collapsed="false" customWidth="true" hidden="false" outlineLevel="0" max="16" min="16" style="0" width="20.14"/>
    <col collapsed="false" customWidth="true" hidden="false" outlineLevel="0" max="17" min="17" style="0" width="9"/>
    <col collapsed="false" customWidth="true" hidden="false" outlineLevel="0" max="26" min="18" style="0" width="8.71"/>
  </cols>
  <sheetData>
    <row r="1" customFormat="false" ht="15" hidden="false" customHeight="false" outlineLevel="0" collapsed="false">
      <c r="A1" s="11" t="s">
        <v>1206</v>
      </c>
      <c r="B1" s="11" t="s">
        <v>1207</v>
      </c>
      <c r="C1" s="11" t="s">
        <v>1208</v>
      </c>
      <c r="D1" s="6" t="s">
        <v>1209</v>
      </c>
      <c r="E1" s="11" t="s">
        <v>1210</v>
      </c>
      <c r="F1" s="6" t="s">
        <v>1211</v>
      </c>
      <c r="G1" s="6" t="s">
        <v>1212</v>
      </c>
      <c r="H1" s="6" t="s">
        <v>1213</v>
      </c>
      <c r="I1" s="6" t="s">
        <v>1214</v>
      </c>
      <c r="J1" s="11" t="s">
        <v>1215</v>
      </c>
      <c r="K1" s="6" t="s">
        <v>1216</v>
      </c>
      <c r="L1" s="6" t="s">
        <v>1217</v>
      </c>
      <c r="M1" s="6" t="s">
        <v>1218</v>
      </c>
      <c r="N1" s="11" t="s">
        <v>1219</v>
      </c>
      <c r="O1" s="6" t="s">
        <v>1220</v>
      </c>
      <c r="P1" s="6" t="s">
        <v>1221</v>
      </c>
      <c r="Q1" s="6" t="s">
        <v>130</v>
      </c>
      <c r="R1" s="4"/>
      <c r="S1" s="4"/>
      <c r="T1" s="4"/>
      <c r="U1" s="4"/>
      <c r="V1" s="4"/>
      <c r="W1" s="4"/>
      <c r="X1" s="4"/>
      <c r="Y1" s="4"/>
      <c r="Z1" s="4"/>
    </row>
    <row r="2" customFormat="false" ht="14.25" hidden="false" customHeight="true" outlineLevel="0" collapsed="false">
      <c r="A2" s="12" t="n">
        <f aca="false">IF(E2="","",E2)</f>
        <v>44767</v>
      </c>
      <c r="B2" s="12" t="n">
        <f aca="false">IF(J2="","",J2)</f>
        <v>44771</v>
      </c>
      <c r="C2" s="12" t="n">
        <f aca="false">IF(N2="","",N2)</f>
        <v>44771</v>
      </c>
      <c r="D2" s="10" t="str">
        <f aca="false">HYPERLINK("https://vtmf.veevavault.com/ui/#doc_info/22211907/1/0", "Trial3-KOR-AI1-KR10001-Site Confirmation Letter-SQVR_CL-25 Jul 2022 (v1.0)")</f>
        <v>Trial3-KOR-AI1-KR10001-Site Confirmation Letter-SQVR_CL-25 Jul 2022 (v1.0)</v>
      </c>
      <c r="E2" s="13" t="n">
        <f aca="false">IFERROR(VALUE(TRIM(LEFT(RIGHT(D2,18),11))),"")</f>
        <v>44767</v>
      </c>
      <c r="F2" s="8"/>
      <c r="G2" s="9" t="str">
        <f aca="false">HYPERLINK("https://vtmf.veevavault.com/ui/#doc_info/22211907/1/0", "VTMF-17479042")</f>
        <v>VTMF-17479042</v>
      </c>
      <c r="H2" s="14" t="n">
        <v>44761.1133796296</v>
      </c>
      <c r="I2" s="10" t="str">
        <f aca="false">HYPERLINK("https://vtmf.veevavault.com/ui/#doc_info/22348011/1/0", "Trial3-KOR-AI1-KR10001-Pre Trial Monitoring Report-29 Jul 2022 (v1.0)")</f>
        <v>Trial3-KOR-AI1-KR10001-Pre Trial Monitoring Report-29 Jul 2022 (v1.0)</v>
      </c>
      <c r="J2" s="13" t="n">
        <f aca="false">IFERROR(VALUE(TRIM(LEFT(RIGHT(I2,18),11))),"")</f>
        <v>44771</v>
      </c>
      <c r="K2" s="9" t="str">
        <f aca="false">HYPERLINK("https://vtmf.veevavault.com/ui/#doc_info/22348011/1/0", "VTMF-17595755")</f>
        <v>VTMF-17595755</v>
      </c>
      <c r="L2" s="14" t="n">
        <v>44782.2360416667</v>
      </c>
      <c r="M2" s="10" t="str">
        <f aca="false">HYPERLINK("https://vtmf.veevavault.com/ui/#doc_info/22352641/1/0", "Trial3-KOR-AI1-KR10001-Monitoring Visit Follow-up Letter-SQVR_FL-29 Jul 2022 (v1.0)")</f>
        <v>Trial3-KOR-AI1-KR10001-Monitoring Visit Follow-up Letter-SQVR_FL-29 Jul 2022 (v1.0)</v>
      </c>
      <c r="N2" s="13" t="n">
        <f aca="false">IFERROR(VALUE(TRIM(LEFT(RIGHT(M2,18),11))),"")</f>
        <v>44771</v>
      </c>
      <c r="O2" s="9" t="str">
        <f aca="false">HYPERLINK("https://vtmf.veevavault.com/ui/#doc_info/22352641/1/0", "VTMF-17599720")</f>
        <v>VTMF-17599720</v>
      </c>
      <c r="P2" s="14" t="n">
        <v>44782.8090277778</v>
      </c>
    </row>
    <row r="3" customFormat="false" ht="14.25" hidden="false" customHeight="true" outlineLevel="0" collapsed="false">
      <c r="A3" s="12" t="n">
        <f aca="false">IF(E3="","",E3)</f>
        <v>44958</v>
      </c>
      <c r="B3" s="12" t="n">
        <f aca="false">IF(J3="","",J3)</f>
        <v>44958</v>
      </c>
      <c r="C3" s="12" t="n">
        <f aca="false">IF(N3="","",N3)</f>
        <v>44958</v>
      </c>
      <c r="D3" s="10" t="str">
        <f aca="false">HYPERLINK("https://vtmf.veevavault.com/ui/#doc_info/23390116/1/0", "Trial3-KOR-AI1-KR10001-Site Confirmation Letter-SIVR_CL-01 Feb 2023 (v1.0)")</f>
        <v>Trial3-KOR-AI1-KR10001-Site Confirmation Letter-SIVR_CL-01 Feb 2023 (v1.0)</v>
      </c>
      <c r="E3" s="13" t="n">
        <f aca="false">IFERROR(VALUE(TRIM(LEFT(RIGHT(D3,18),11))),"")</f>
        <v>44958</v>
      </c>
      <c r="F3" s="8"/>
      <c r="G3" s="9" t="str">
        <f aca="false">HYPERLINK("https://vtmf.veevavault.com/ui/#doc_info/23390116/1/0", "VTMF-18498559")</f>
        <v>VTMF-18498559</v>
      </c>
      <c r="H3" s="14" t="n">
        <v>44955.8516087963</v>
      </c>
      <c r="I3" s="10" t="str">
        <f aca="false">HYPERLINK("https://vtmf.veevavault.com/ui/#doc_info/23529130/1/0", "Trial3-KOR-AI1-KR10001-Trial Initiation Monitoring Report-01 Feb 2023 (v1.0)")</f>
        <v>Trial3-KOR-AI1-KR10001-Trial Initiation Monitoring Report-01 Feb 2023 (v1.0)</v>
      </c>
      <c r="J3" s="13" t="n">
        <f aca="false">IFERROR(VALUE(TRIM(LEFT(RIGHT(I3,18),11))),"")</f>
        <v>44958</v>
      </c>
      <c r="K3" s="9" t="str">
        <f aca="false">HYPERLINK("https://vtmf.veevavault.com/ui/#doc_info/23529130/1/0", "VTMF-18619255")</f>
        <v>VTMF-18619255</v>
      </c>
      <c r="L3" s="14" t="n">
        <v>44978.064224537</v>
      </c>
      <c r="M3" s="10" t="str">
        <f aca="false">HYPERLINK("https://vtmf.veevavault.com/ui/#doc_info/23529603/1/0", "Trial3-KOR-AI1-KR10001-Monitoring Visit Follow-up Letter-SIVR_FL-01 Feb 2023 (v1.0)")</f>
        <v>Trial3-KOR-AI1-KR10001-Monitoring Visit Follow-up Letter-SIVR_FL-01 Feb 2023 (v1.0)</v>
      </c>
      <c r="N3" s="13" t="n">
        <f aca="false">IFERROR(VALUE(TRIM(LEFT(RIGHT(M3,18),11))),"")</f>
        <v>44958</v>
      </c>
      <c r="O3" s="9" t="str">
        <f aca="false">HYPERLINK("https://vtmf.veevavault.com/ui/#doc_info/23529603/1/0", "VTMF-18619665")</f>
        <v>VTMF-18619665</v>
      </c>
      <c r="P3" s="14" t="n">
        <v>44978.1066666667</v>
      </c>
    </row>
    <row r="4" customFormat="false" ht="14.25" hidden="false" customHeight="true" outlineLevel="0" collapsed="false">
      <c r="A4" s="12" t="n">
        <f aca="false">IF(E4="","",E4)</f>
        <v>44980</v>
      </c>
      <c r="B4" s="12" t="n">
        <f aca="false">IF(J4="","",J4)</f>
        <v>44984</v>
      </c>
      <c r="C4" s="12" t="n">
        <f aca="false">IF(N4="","",N4)</f>
        <v>44984</v>
      </c>
      <c r="D4" s="10" t="str">
        <f aca="false">HYPERLINK("https://vtmf.veevavault.com/ui/#doc_info/23528395/1/0", "Trial3-KOR-AI1-KR10001-Site Confirmation Letter-SMVR_CL-23 Feb 2023 (v1.0)")</f>
        <v>Trial3-KOR-AI1-KR10001-Site Confirmation Letter-SMVR_CL-23 Feb 2023 (v1.0)</v>
      </c>
      <c r="E4" s="13" t="n">
        <f aca="false">IFERROR(VALUE(TRIM(LEFT(RIGHT(D4,18),11))),"")</f>
        <v>44980</v>
      </c>
      <c r="F4" s="8"/>
      <c r="G4" s="9" t="str">
        <f aca="false">HYPERLINK("https://vtmf.veevavault.com/ui/#doc_info/23528395/1/0", "VTMF-18618630")</f>
        <v>VTMF-18618630</v>
      </c>
      <c r="H4" s="14" t="n">
        <v>44977.9816550926</v>
      </c>
      <c r="I4" s="10" t="str">
        <f aca="false">HYPERLINK("https://vtmf.veevavault.com/ui/#doc_info/23696239/1/0", "Trial3-KOR-AI1-KR10001-Monitoring Visit Report-27 Feb 2023 (v1.0)")</f>
        <v>Trial3-KOR-AI1-KR10001-Monitoring Visit Report-27 Feb 2023 (v1.0)</v>
      </c>
      <c r="J4" s="13" t="n">
        <f aca="false">IFERROR(VALUE(TRIM(LEFT(RIGHT(I4,18),11))),"")</f>
        <v>44984</v>
      </c>
      <c r="K4" s="9" t="str">
        <f aca="false">HYPERLINK("https://vtmf.veevavault.com/ui/#doc_info/23696239/1/0", "VTMF-18763609")</f>
        <v>VTMF-18763609</v>
      </c>
      <c r="L4" s="14" t="n">
        <v>45002.8200115741</v>
      </c>
      <c r="M4" s="10" t="str">
        <f aca="false">HYPERLINK("https://vtmf.veevavault.com/ui/#doc_info/23696246/1/0", "Trial3-KOR-AI1-KR10001-Monitoring Visit Follow-up Letter-SMVR_FL-27 Feb 2023 (v1.0)")</f>
        <v>Trial3-KOR-AI1-KR10001-Monitoring Visit Follow-up Letter-SMVR_FL-27 Feb 2023 (v1.0)</v>
      </c>
      <c r="N4" s="13" t="n">
        <f aca="false">IFERROR(VALUE(TRIM(LEFT(RIGHT(M4,18),11))),"")</f>
        <v>44984</v>
      </c>
      <c r="O4" s="9" t="str">
        <f aca="false">HYPERLINK("https://vtmf.veevavault.com/ui/#doc_info/23696246/1/0", "VTMF-18763615")</f>
        <v>VTMF-18763615</v>
      </c>
      <c r="P4" s="14" t="n">
        <v>45002.8218287037</v>
      </c>
    </row>
    <row r="5" customFormat="false" ht="14.25" hidden="false" customHeight="true" outlineLevel="0" collapsed="false">
      <c r="A5" s="12" t="n">
        <f aca="false">IF(E5="","",E5)</f>
        <v>44994</v>
      </c>
      <c r="B5" s="12" t="n">
        <f aca="false">IF(J5="","",J5)</f>
        <v>44995</v>
      </c>
      <c r="C5" s="12" t="n">
        <f aca="false">IF(N5="","",N5)</f>
        <v>44995</v>
      </c>
      <c r="D5" s="10" t="str">
        <f aca="false">HYPERLINK("https://vtmf.veevavault.com/ui/#doc_info/23616924/1/0", "Trial3-KOR-AI1-KR10001-Site Confirmation Letter-SMVR_CL-09 Mar 2023 (v1.0)")</f>
        <v>Trial3-KOR-AI1-KR10001-Site Confirmation Letter-SMVR_CL-09 Mar 2023 (v1.0)</v>
      </c>
      <c r="E5" s="13" t="n">
        <f aca="false">IFERROR(VALUE(TRIM(LEFT(RIGHT(D5,18),11))),"")</f>
        <v>44994</v>
      </c>
      <c r="F5" s="8"/>
      <c r="G5" s="9" t="str">
        <f aca="false">HYPERLINK("https://vtmf.veevavault.com/ui/#doc_info/23616924/1/0", "VTMF-18694606")</f>
        <v>VTMF-18694606</v>
      </c>
      <c r="H5" s="14" t="n">
        <v>44992.0677430556</v>
      </c>
      <c r="I5" s="10" t="str">
        <f aca="false">HYPERLINK("https://vtmf.veevavault.com/ui/#doc_info/23778999/1/0", "Trial3-KOR-AI1-KR10001-Monitoring Visit Report-10 Mar 2023 (v1.0)")</f>
        <v>Trial3-KOR-AI1-KR10001-Monitoring Visit Report-10 Mar 2023 (v1.0)</v>
      </c>
      <c r="J5" s="13" t="n">
        <f aca="false">IFERROR(VALUE(TRIM(LEFT(RIGHT(I5,18),11))),"")</f>
        <v>44995</v>
      </c>
      <c r="K5" s="9" t="str">
        <f aca="false">HYPERLINK("https://vtmf.veevavault.com/ui/#doc_info/23778999/1/0", "VTMF-18834676")</f>
        <v>VTMF-18834676</v>
      </c>
      <c r="L5" s="14" t="n">
        <v>45016.1113888889</v>
      </c>
      <c r="M5" s="10" t="str">
        <f aca="false">HYPERLINK("https://vtmf.veevavault.com/ui/#doc_info/23779017/1/0", "Trial3-KOR-AI1-KR10001-Monitoring Visit Follow-up Letter-SMVR_FL-10 Mar 2023 (v1.0)")</f>
        <v>Trial3-KOR-AI1-KR10001-Monitoring Visit Follow-up Letter-SMVR_FL-10 Mar 2023 (v1.0)</v>
      </c>
      <c r="N5" s="13" t="n">
        <f aca="false">IFERROR(VALUE(TRIM(LEFT(RIGHT(M5,18),11))),"")</f>
        <v>44995</v>
      </c>
      <c r="O5" s="9" t="str">
        <f aca="false">HYPERLINK("https://vtmf.veevavault.com/ui/#doc_info/23779017/1/0", "VTMF-18834694")</f>
        <v>VTMF-18834694</v>
      </c>
      <c r="P5" s="14" t="n">
        <v>45016.1117592593</v>
      </c>
    </row>
    <row r="6" customFormat="false" ht="14.25" hidden="false" customHeight="true" outlineLevel="0" collapsed="false">
      <c r="A6" s="12" t="n">
        <f aca="false">IF(E6="","",E6)</f>
        <v>45013</v>
      </c>
      <c r="B6" s="12" t="n">
        <f aca="false">IF(J6="","",J6)</f>
        <v>45019</v>
      </c>
      <c r="C6" s="12" t="n">
        <f aca="false">IF(N6="","",N6)</f>
        <v>45019</v>
      </c>
      <c r="D6" s="10" t="str">
        <f aca="false">HYPERLINK("https://vtmf.veevavault.com/ui/#doc_info/23725198/1/0", "Trial3-KOR-AI1-KR10001-Site Confirmation Letter-SMVR_CL-28 Mar 2023 (v1.0)")</f>
        <v>Trial3-KOR-AI1-KR10001-Site Confirmation Letter-SMVR_CL-28 Mar 2023 (v1.0)</v>
      </c>
      <c r="E6" s="13" t="n">
        <f aca="false">IFERROR(VALUE(TRIM(LEFT(RIGHT(D6,18),11))),"")</f>
        <v>45013</v>
      </c>
      <c r="F6" s="8"/>
      <c r="G6" s="9" t="str">
        <f aca="false">HYPERLINK("https://vtmf.veevavault.com/ui/#doc_info/23725198/1/0", "VTMF-18788174")</f>
        <v>VTMF-18788174</v>
      </c>
      <c r="H6" s="14" t="n">
        <v>45008.1714236111</v>
      </c>
      <c r="I6" s="10" t="str">
        <f aca="false">HYPERLINK("https://vtmf.veevavault.com/ui/#doc_info/23870661/1/0", "Trial3-KOR-AI1-KR10001-Monitoring Visit Report-03 Apr 2023 (v1.0)")</f>
        <v>Trial3-KOR-AI1-KR10001-Monitoring Visit Report-03 Apr 2023 (v1.0)</v>
      </c>
      <c r="J6" s="13" t="n">
        <f aca="false">IFERROR(VALUE(TRIM(LEFT(RIGHT(I6,18),11))),"")</f>
        <v>45019</v>
      </c>
      <c r="K6" s="9" t="str">
        <f aca="false">HYPERLINK("https://vtmf.veevavault.com/ui/#doc_info/23870661/1/0", "VTMF-18914831")</f>
        <v>VTMF-18914831</v>
      </c>
      <c r="L6" s="14" t="n">
        <v>45032.2894675926</v>
      </c>
      <c r="M6" s="10" t="str">
        <f aca="false">HYPERLINK("https://vtmf.veevavault.com/ui/#doc_info/23870670/1/0", "Trial3-KOR-AI1-KR10001-Monitoring Visit Follow-up Letter-SMVR_FL-03 Apr 2023 (v1.0)")</f>
        <v>Trial3-KOR-AI1-KR10001-Monitoring Visit Follow-up Letter-SMVR_FL-03 Apr 2023 (v1.0)</v>
      </c>
      <c r="N6" s="13" t="n">
        <f aca="false">IFERROR(VALUE(TRIM(LEFT(RIGHT(M6,18),11))),"")</f>
        <v>45019</v>
      </c>
      <c r="O6" s="9" t="str">
        <f aca="false">HYPERLINK("https://vtmf.veevavault.com/ui/#doc_info/23870670/1/0", "VTMF-18914840")</f>
        <v>VTMF-18914840</v>
      </c>
      <c r="P6" s="14" t="n">
        <v>45032.2918055556</v>
      </c>
    </row>
    <row r="7" customFormat="false" ht="14.25" hidden="false" customHeight="true" outlineLevel="0" collapsed="false">
      <c r="A7" s="12" t="n">
        <f aca="false">IF(E7="","",E7)</f>
        <v>45027</v>
      </c>
      <c r="B7" s="12" t="n">
        <f aca="false">IF(J7="","",J7)</f>
        <v>45029</v>
      </c>
      <c r="C7" s="12" t="n">
        <f aca="false">IF(N7="","",N7)</f>
        <v>45029</v>
      </c>
      <c r="D7" s="10" t="str">
        <f aca="false">HYPERLINK("https://vtmf.veevavault.com/ui/#doc_info/23832281/1/0", "Trial3-KOR-AI1-KR10001-Site Confirmation Letter-SMVR_CL-11 Apr 2023 (v1.0)")</f>
        <v>Trial3-KOR-AI1-KR10001-Site Confirmation Letter-SMVR_CL-11 Apr 2023 (v1.0)</v>
      </c>
      <c r="E7" s="13" t="n">
        <f aca="false">IFERROR(VALUE(TRIM(LEFT(RIGHT(D7,18),11))),"")</f>
        <v>45027</v>
      </c>
      <c r="F7" s="8"/>
      <c r="G7" s="9" t="str">
        <f aca="false">HYPERLINK("https://vtmf.veevavault.com/ui/#doc_info/23832281/1/0", "VTMF-18881661")</f>
        <v>VTMF-18881661</v>
      </c>
      <c r="H7" s="14" t="n">
        <v>45026.3769560185</v>
      </c>
      <c r="I7" s="10" t="str">
        <f aca="false">HYPERLINK("https://vtmf.veevavault.com/ui/#doc_info/23981887/1/0", "Trial3-KOR-AI1-KR10001-Monitoring Visit Report-13 Apr 2023 (v1.0)")</f>
        <v>Trial3-KOR-AI1-KR10001-Monitoring Visit Report-13 Apr 2023 (v1.0)</v>
      </c>
      <c r="J7" s="13" t="n">
        <f aca="false">IFERROR(VALUE(TRIM(LEFT(RIGHT(I7,18),11))),"")</f>
        <v>45029</v>
      </c>
      <c r="K7" s="9" t="str">
        <f aca="false">HYPERLINK("https://vtmf.veevavault.com/ui/#doc_info/23981887/1/0", "VTMF-19011853")</f>
        <v>VTMF-19011853</v>
      </c>
      <c r="L7" s="14" t="n">
        <v>45049.9353125</v>
      </c>
      <c r="M7" s="10" t="str">
        <f aca="false">HYPERLINK("https://vtmf.veevavault.com/ui/#doc_info/23982579/1/0", "Trial3-KOR-AI1-KR10001-Monitoring Visit Follow-up Letter-SMVR_FL-13 Apr 2023 (v1.0)")</f>
        <v>Trial3-KOR-AI1-KR10001-Monitoring Visit Follow-up Letter-SMVR_FL-13 Apr 2023 (v1.0)</v>
      </c>
      <c r="N7" s="13" t="n">
        <f aca="false">IFERROR(VALUE(TRIM(LEFT(RIGHT(M7,18),11))),"")</f>
        <v>45029</v>
      </c>
      <c r="O7" s="9" t="str">
        <f aca="false">HYPERLINK("https://vtmf.veevavault.com/ui/#doc_info/23982579/1/0", "VTMF-19012448")</f>
        <v>VTMF-19012448</v>
      </c>
      <c r="P7" s="14" t="n">
        <v>45050.0682060185</v>
      </c>
    </row>
    <row r="8" customFormat="false" ht="14.25" hidden="false" customHeight="true" outlineLevel="0" collapsed="false">
      <c r="A8" s="12" t="n">
        <f aca="false">IF(E8="","",E8)</f>
        <v>45049</v>
      </c>
      <c r="B8" s="12" t="n">
        <f aca="false">IF(J8="","",J8)</f>
        <v>45049</v>
      </c>
      <c r="C8" s="12" t="n">
        <f aca="false">IF(N8="","",N8)</f>
        <v>45049</v>
      </c>
      <c r="D8" s="10" t="str">
        <f aca="false">HYPERLINK("https://vtmf.veevavault.com/ui/#doc_info/23967192/1/0", "Trial3-KOR-AI1-KR10001-Site Confirmation Letter-SMVR_CL-03 May 2023 (v1.0)")</f>
        <v>Trial3-KOR-AI1-KR10001-Site Confirmation Letter-SMVR_CL-03 May 2023 (v1.0)</v>
      </c>
      <c r="E8" s="13" t="n">
        <f aca="false">IFERROR(VALUE(TRIM(LEFT(RIGHT(D8,18),11))),"")</f>
        <v>45049</v>
      </c>
      <c r="F8" s="8"/>
      <c r="G8" s="9" t="str">
        <f aca="false">HYPERLINK("https://vtmf.veevavault.com/ui/#doc_info/23967192/1/0", "VTMF-18999279")</f>
        <v>VTMF-18999279</v>
      </c>
      <c r="H8" s="14" t="n">
        <v>45048.0289930556</v>
      </c>
      <c r="I8" s="10" t="str">
        <f aca="false">HYPERLINK("https://vtmf.veevavault.com/ui/#doc_info/24124260/1/0", "Trial3-KOR-AI1-KR10001-Monitoring Visit Report-03 May 2023 (v1.0)")</f>
        <v>Trial3-KOR-AI1-KR10001-Monitoring Visit Report-03 May 2023 (v1.0)</v>
      </c>
      <c r="J8" s="13" t="n">
        <f aca="false">IFERROR(VALUE(TRIM(LEFT(RIGHT(I8,18),11))),"")</f>
        <v>45049</v>
      </c>
      <c r="K8" s="9" t="str">
        <f aca="false">HYPERLINK("https://vtmf.veevavault.com/ui/#doc_info/24124260/1/0", "VTMF-19138084")</f>
        <v>VTMF-19138084</v>
      </c>
      <c r="L8" s="14" t="n">
        <v>45069.9857175926</v>
      </c>
      <c r="M8" s="10" t="str">
        <f aca="false">HYPERLINK("https://vtmf.veevavault.com/ui/#doc_info/24125932/1/0", "Trial3-KOR-AI1-KR10001-Monitoring Visit Follow-up Letter-SMVR_FL-03 May 2023 (v1.0)")</f>
        <v>Trial3-KOR-AI1-KR10001-Monitoring Visit Follow-up Letter-SMVR_FL-03 May 2023 (v1.0)</v>
      </c>
      <c r="N8" s="13" t="n">
        <f aca="false">IFERROR(VALUE(TRIM(LEFT(RIGHT(M8,18),11))),"")</f>
        <v>45049</v>
      </c>
      <c r="O8" s="9" t="str">
        <f aca="false">HYPERLINK("https://vtmf.veevavault.com/ui/#doc_info/24125932/1/0", "VTMF-19139413")</f>
        <v>VTMF-19139413</v>
      </c>
      <c r="P8" s="14" t="n">
        <v>45070.165</v>
      </c>
    </row>
    <row r="9" customFormat="false" ht="14.25" hidden="false" customHeight="true" outlineLevel="0" collapsed="false">
      <c r="A9" s="12" t="n">
        <f aca="false">IF(E9="","",E9)</f>
        <v>45063</v>
      </c>
      <c r="B9" s="12" t="n">
        <f aca="false">IF(J9="","",J9)</f>
        <v>45069</v>
      </c>
      <c r="C9" s="12" t="n">
        <f aca="false">IF(N9="","",N9)</f>
        <v>45069</v>
      </c>
      <c r="D9" s="10" t="str">
        <f aca="false">HYPERLINK("https://vtmf.veevavault.com/ui/#doc_info/24051196/1/0", "Trial3-KOR-AI1-KR10001-Site Confirmation Letter-SMVR_CL-17 May 2023 (v1.0)")</f>
        <v>Trial3-KOR-AI1-KR10001-Site Confirmation Letter-SMVR_CL-17 May 2023 (v1.0)</v>
      </c>
      <c r="E9" s="13" t="n">
        <f aca="false">IFERROR(VALUE(TRIM(LEFT(RIGHT(D9,18),11))),"")</f>
        <v>45063</v>
      </c>
      <c r="F9" s="8"/>
      <c r="G9" s="9" t="str">
        <f aca="false">HYPERLINK("https://vtmf.veevavault.com/ui/#doc_info/24051196/1/0", "VTMF-19071602")</f>
        <v>VTMF-19071602</v>
      </c>
      <c r="H9" s="14" t="n">
        <v>45061.8091319444</v>
      </c>
      <c r="I9" s="10" t="str">
        <f aca="false">HYPERLINK("https://vtmf.veevavault.com/ui/#doc_info/24178041/1/0", "Trial3-KOR-AI1-KR10001-Monitoring Visit Report-23 May 2023 (v1.0)")</f>
        <v>Trial3-KOR-AI1-KR10001-Monitoring Visit Report-23 May 2023 (v1.0)</v>
      </c>
      <c r="J9" s="13" t="n">
        <f aca="false">IFERROR(VALUE(TRIM(LEFT(RIGHT(I9,18),11))),"")</f>
        <v>45069</v>
      </c>
      <c r="K9" s="9" t="str">
        <f aca="false">HYPERLINK("https://vtmf.veevavault.com/ui/#doc_info/24178041/1/0", "VTMF-19186338")</f>
        <v>VTMF-19186338</v>
      </c>
      <c r="L9" s="14" t="n">
        <v>45077.807349537</v>
      </c>
      <c r="M9" s="10" t="str">
        <f aca="false">HYPERLINK("https://vtmf.veevavault.com/ui/#doc_info/24178049/1/0", "Trial3-KOR-AI1-KR10001-Monitoring Visit Follow-up Letter-SMVR_FL-23 May 2023 (v1.0)")</f>
        <v>Trial3-KOR-AI1-KR10001-Monitoring Visit Follow-up Letter-SMVR_FL-23 May 2023 (v1.0)</v>
      </c>
      <c r="N9" s="13" t="n">
        <f aca="false">IFERROR(VALUE(TRIM(LEFT(RIGHT(M9,18),11))),"")</f>
        <v>45069</v>
      </c>
      <c r="O9" s="9" t="str">
        <f aca="false">HYPERLINK("https://vtmf.veevavault.com/ui/#doc_info/24178049/1/0", "VTMF-19186343")</f>
        <v>VTMF-19186343</v>
      </c>
      <c r="P9" s="14" t="n">
        <v>45077.8077083333</v>
      </c>
    </row>
    <row r="10" customFormat="false" ht="14.25" hidden="false" customHeight="true" outlineLevel="0" collapsed="false">
      <c r="A10" s="12" t="n">
        <f aca="false">IF(E10="","",E10)</f>
        <v>45428</v>
      </c>
      <c r="B10" s="12" t="str">
        <f aca="false">IF(J10="","",J10)</f>
        <v/>
      </c>
      <c r="C10" s="12" t="str">
        <f aca="false">IF(N10="","",N10)</f>
        <v/>
      </c>
      <c r="D10" s="10" t="str">
        <f aca="false">HYPERLINK("https://vtmf.veevavault.com/ui/#doc_info/26319852/1/0", "Trial3-KOR-AI1-KR10001-Site Confirmation Letter-SMVR_CL-16 May 2024 (v1.0)")</f>
        <v>Trial3-KOR-AI1-KR10001-Site Confirmation Letter-SMVR_CL-16 May 2024 (v1.0)</v>
      </c>
      <c r="E10" s="13" t="n">
        <f aca="false">IFERROR(VALUE(TRIM(LEFT(RIGHT(D10,18),11))),"")</f>
        <v>45428</v>
      </c>
      <c r="F10" s="8"/>
      <c r="G10" s="9" t="str">
        <f aca="false">HYPERLINK("https://vtmf.veevavault.com/ui/#doc_info/26319852/1/0", "VTMF-21059137")</f>
        <v>VTMF-21059137</v>
      </c>
      <c r="H10" s="14" t="n">
        <v>45426.0573842593</v>
      </c>
      <c r="J10" s="13" t="str">
        <f aca="false">IFERROR(VALUE(TRIM(LEFT(RIGHT(I10,18),11))),"")</f>
        <v/>
      </c>
      <c r="N10" s="13" t="str">
        <f aca="false">IFERROR(VALUE(TRIM(LEFT(RIGHT(M10,18),11))),"")</f>
        <v/>
      </c>
    </row>
    <row r="11" customFormat="false" ht="14.25" hidden="false" customHeight="true" outlineLevel="0" collapsed="false">
      <c r="A11" s="12" t="str">
        <f aca="false">IF(E11="","",E11)</f>
        <v/>
      </c>
      <c r="B11" s="12" t="str">
        <f aca="false">IF(J11="","",J11)</f>
        <v/>
      </c>
      <c r="C11" s="12" t="str">
        <f aca="false">IF(N11="","",N11)</f>
        <v/>
      </c>
      <c r="E11" s="13" t="str">
        <f aca="false">IFERROR(VALUE(TRIM(LEFT(RIGHT(D11,18),11))),"")</f>
        <v/>
      </c>
      <c r="J11" s="13" t="str">
        <f aca="false">IFERROR(VALUE(TRIM(LEFT(RIGHT(I11,18),11))),"")</f>
        <v/>
      </c>
      <c r="N11" s="13" t="str">
        <f aca="false">IFERROR(VALUE(TRIM(LEFT(RIGHT(M11,18),11))),"")</f>
        <v/>
      </c>
    </row>
    <row r="12" customFormat="false" ht="14.25" hidden="false" customHeight="true" outlineLevel="0" collapsed="false">
      <c r="A12" s="12" t="str">
        <f aca="false">IF(E12="","",E12)</f>
        <v/>
      </c>
      <c r="B12" s="12" t="str">
        <f aca="false">IF(J12="","",J12)</f>
        <v/>
      </c>
      <c r="C12" s="12" t="str">
        <f aca="false">IF(N12="","",N12)</f>
        <v/>
      </c>
      <c r="E12" s="13" t="str">
        <f aca="false">IFERROR(VALUE(TRIM(LEFT(RIGHT(D12,18),11))),"")</f>
        <v/>
      </c>
      <c r="J12" s="13" t="str">
        <f aca="false">IFERROR(VALUE(TRIM(LEFT(RIGHT(I12,18),11))),"")</f>
        <v/>
      </c>
      <c r="N12" s="13" t="str">
        <f aca="false">IFERROR(VALUE(TRIM(LEFT(RIGHT(M12,18),11))),"")</f>
        <v/>
      </c>
    </row>
    <row r="13" customFormat="false" ht="14.25" hidden="false" customHeight="true" outlineLevel="0" collapsed="false">
      <c r="A13" s="12" t="str">
        <f aca="false">IF(E13="","",E13)</f>
        <v/>
      </c>
      <c r="B13" s="12" t="str">
        <f aca="false">IF(J13="","",J13)</f>
        <v/>
      </c>
      <c r="C13" s="12" t="str">
        <f aca="false">IF(N13="","",N13)</f>
        <v/>
      </c>
      <c r="E13" s="13" t="str">
        <f aca="false">IFERROR(VALUE(TRIM(LEFT(RIGHT(D13,18),11))),"")</f>
        <v/>
      </c>
      <c r="J13" s="13" t="str">
        <f aca="false">IFERROR(VALUE(TRIM(LEFT(RIGHT(I13,18),11))),"")</f>
        <v/>
      </c>
      <c r="N13" s="13" t="str">
        <f aca="false">IFERROR(VALUE(TRIM(LEFT(RIGHT(M13,18),11))),"")</f>
        <v/>
      </c>
    </row>
    <row r="14" customFormat="false" ht="14.25" hidden="false" customHeight="true" outlineLevel="0" collapsed="false">
      <c r="A14" s="12" t="str">
        <f aca="false">IF(E14="","",E14)</f>
        <v/>
      </c>
      <c r="B14" s="12" t="str">
        <f aca="false">IF(J14="","",J14)</f>
        <v/>
      </c>
      <c r="C14" s="12" t="str">
        <f aca="false">IF(N14="","",N14)</f>
        <v/>
      </c>
      <c r="E14" s="13" t="str">
        <f aca="false">IFERROR(VALUE(TRIM(LEFT(RIGHT(D14,18),11))),"")</f>
        <v/>
      </c>
      <c r="J14" s="13" t="str">
        <f aca="false">IFERROR(VALUE(TRIM(LEFT(RIGHT(I14,18),11))),"")</f>
        <v/>
      </c>
      <c r="N14" s="13" t="str">
        <f aca="false">IFERROR(VALUE(TRIM(LEFT(RIGHT(M14,18),11))),"")</f>
        <v/>
      </c>
    </row>
    <row r="15" customFormat="false" ht="14.25" hidden="false" customHeight="true" outlineLevel="0" collapsed="false">
      <c r="A15" s="12" t="str">
        <f aca="false">IF(E15="","",E15)</f>
        <v/>
      </c>
      <c r="B15" s="12" t="str">
        <f aca="false">IF(J15="","",J15)</f>
        <v/>
      </c>
      <c r="C15" s="12" t="str">
        <f aca="false">IF(N15="","",N15)</f>
        <v/>
      </c>
      <c r="E15" s="13" t="str">
        <f aca="false">IFERROR(VALUE(TRIM(LEFT(RIGHT(D15,18),11))),"")</f>
        <v/>
      </c>
      <c r="J15" s="13" t="str">
        <f aca="false">IFERROR(VALUE(TRIM(LEFT(RIGHT(I15,18),11))),"")</f>
        <v/>
      </c>
      <c r="N15" s="13" t="str">
        <f aca="false">IFERROR(VALUE(TRIM(LEFT(RIGHT(M15,18),11))),"")</f>
        <v/>
      </c>
    </row>
    <row r="16" customFormat="false" ht="14.25" hidden="false" customHeight="true" outlineLevel="0" collapsed="false">
      <c r="A16" s="12" t="str">
        <f aca="false">IF(E16="","",E16)</f>
        <v/>
      </c>
      <c r="B16" s="12" t="str">
        <f aca="false">IF(J16="","",J16)</f>
        <v/>
      </c>
      <c r="C16" s="12" t="str">
        <f aca="false">IF(N16="","",N16)</f>
        <v/>
      </c>
      <c r="E16" s="13" t="str">
        <f aca="false">IFERROR(VALUE(TRIM(LEFT(RIGHT(D16,18),11))),"")</f>
        <v/>
      </c>
      <c r="J16" s="13" t="str">
        <f aca="false">IFERROR(VALUE(TRIM(LEFT(RIGHT(I16,18),11))),"")</f>
        <v/>
      </c>
      <c r="N16" s="13" t="str">
        <f aca="false">IFERROR(VALUE(TRIM(LEFT(RIGHT(M16,18),11))),"")</f>
        <v/>
      </c>
    </row>
    <row r="17" customFormat="false" ht="14.25" hidden="false" customHeight="true" outlineLevel="0" collapsed="false">
      <c r="A17" s="12" t="str">
        <f aca="false">IF(E17="","",E17)</f>
        <v/>
      </c>
      <c r="B17" s="12" t="str">
        <f aca="false">IF(J17="","",J17)</f>
        <v/>
      </c>
      <c r="C17" s="12" t="str">
        <f aca="false">IF(N17="","",N17)</f>
        <v/>
      </c>
      <c r="E17" s="13" t="str">
        <f aca="false">IFERROR(VALUE(TRIM(LEFT(RIGHT(D17,18),11))),"")</f>
        <v/>
      </c>
      <c r="J17" s="13" t="str">
        <f aca="false">IFERROR(VALUE(TRIM(LEFT(RIGHT(I17,18),11))),"")</f>
        <v/>
      </c>
      <c r="N17" s="13" t="str">
        <f aca="false">IFERROR(VALUE(TRIM(LEFT(RIGHT(M17,18),11))),"")</f>
        <v/>
      </c>
    </row>
    <row r="18" customFormat="false" ht="14.25" hidden="false" customHeight="true" outlineLevel="0" collapsed="false">
      <c r="A18" s="12" t="str">
        <f aca="false">IF(E18="","",E18)</f>
        <v/>
      </c>
      <c r="B18" s="12" t="str">
        <f aca="false">IF(J18="","",J18)</f>
        <v/>
      </c>
      <c r="C18" s="12" t="str">
        <f aca="false">IF(N18="","",N18)</f>
        <v/>
      </c>
      <c r="E18" s="13" t="str">
        <f aca="false">IFERROR(VALUE(TRIM(LEFT(RIGHT(D18,18),11))),"")</f>
        <v/>
      </c>
      <c r="J18" s="13" t="str">
        <f aca="false">IFERROR(VALUE(TRIM(LEFT(RIGHT(I18,18),11))),"")</f>
        <v/>
      </c>
      <c r="N18" s="13" t="str">
        <f aca="false">IFERROR(VALUE(TRIM(LEFT(RIGHT(M18,18),11))),"")</f>
        <v/>
      </c>
    </row>
    <row r="19" customFormat="false" ht="14.25" hidden="false" customHeight="true" outlineLevel="0" collapsed="false">
      <c r="A19" s="12" t="str">
        <f aca="false">IF(E19="","",E19)</f>
        <v/>
      </c>
      <c r="B19" s="12" t="str">
        <f aca="false">IF(J19="","",J19)</f>
        <v/>
      </c>
      <c r="C19" s="12" t="str">
        <f aca="false">IF(N19="","",N19)</f>
        <v/>
      </c>
      <c r="E19" s="13" t="str">
        <f aca="false">IFERROR(VALUE(TRIM(LEFT(RIGHT(D19,18),11))),"")</f>
        <v/>
      </c>
      <c r="J19" s="13" t="str">
        <f aca="false">IFERROR(VALUE(TRIM(LEFT(RIGHT(I19,18),11))),"")</f>
        <v/>
      </c>
      <c r="N19" s="13" t="str">
        <f aca="false">IFERROR(VALUE(TRIM(LEFT(RIGHT(M19,18),11))),"")</f>
        <v/>
      </c>
    </row>
    <row r="20" customFormat="false" ht="14.25" hidden="false" customHeight="true" outlineLevel="0" collapsed="false">
      <c r="A20" s="12" t="str">
        <f aca="false">IF(E20="","",E20)</f>
        <v/>
      </c>
      <c r="B20" s="12" t="str">
        <f aca="false">IF(J20="","",J20)</f>
        <v/>
      </c>
      <c r="C20" s="12" t="str">
        <f aca="false">IF(N20="","",N20)</f>
        <v/>
      </c>
      <c r="E20" s="13" t="str">
        <f aca="false">IFERROR(VALUE(TRIM(LEFT(RIGHT(D20,18),11))),"")</f>
        <v/>
      </c>
      <c r="J20" s="13" t="str">
        <f aca="false">IFERROR(VALUE(TRIM(LEFT(RIGHT(I20,18),11))),"")</f>
        <v/>
      </c>
      <c r="N20" s="13" t="str">
        <f aca="false">IFERROR(VALUE(TRIM(LEFT(RIGHT(M20,18),11))),"")</f>
        <v/>
      </c>
    </row>
    <row r="21" customFormat="false" ht="14.25" hidden="false" customHeight="true" outlineLevel="0" collapsed="false">
      <c r="A21" s="12" t="str">
        <f aca="false">IF(E21="","",E21)</f>
        <v/>
      </c>
      <c r="B21" s="12" t="str">
        <f aca="false">IF(J21="","",J21)</f>
        <v/>
      </c>
      <c r="C21" s="12" t="str">
        <f aca="false">IF(N21="","",N21)</f>
        <v/>
      </c>
      <c r="E21" s="13" t="str">
        <f aca="false">IFERROR(VALUE(TRIM(LEFT(RIGHT(D21,18),11))),"")</f>
        <v/>
      </c>
      <c r="J21" s="13" t="str">
        <f aca="false">IFERROR(VALUE(TRIM(LEFT(RIGHT(I21,18),11))),"")</f>
        <v/>
      </c>
      <c r="N21" s="13" t="str">
        <f aca="false">IFERROR(VALUE(TRIM(LEFT(RIGHT(M21,18),11))),"")</f>
        <v/>
      </c>
    </row>
    <row r="22" customFormat="false" ht="14.25" hidden="false" customHeight="true" outlineLevel="0" collapsed="false">
      <c r="A22" s="12" t="str">
        <f aca="false">IF(E22="","",E22)</f>
        <v/>
      </c>
      <c r="B22" s="12" t="str">
        <f aca="false">IF(J22="","",J22)</f>
        <v/>
      </c>
      <c r="C22" s="12" t="str">
        <f aca="false">IF(N22="","",N22)</f>
        <v/>
      </c>
      <c r="E22" s="13" t="str">
        <f aca="false">IFERROR(VALUE(TRIM(LEFT(RIGHT(D22,18),11))),"")</f>
        <v/>
      </c>
      <c r="J22" s="13" t="str">
        <f aca="false">IFERROR(VALUE(TRIM(LEFT(RIGHT(I22,18),11))),"")</f>
        <v/>
      </c>
      <c r="N22" s="13" t="str">
        <f aca="false">IFERROR(VALUE(TRIM(LEFT(RIGHT(M22,18),11))),"")</f>
        <v/>
      </c>
    </row>
    <row r="23" customFormat="false" ht="14.25" hidden="false" customHeight="true" outlineLevel="0" collapsed="false">
      <c r="A23" s="12" t="str">
        <f aca="false">IF(E23="","",E23)</f>
        <v/>
      </c>
      <c r="B23" s="12" t="str">
        <f aca="false">IF(J23="","",J23)</f>
        <v/>
      </c>
      <c r="C23" s="12" t="str">
        <f aca="false">IF(N23="","",N23)</f>
        <v/>
      </c>
      <c r="E23" s="13" t="str">
        <f aca="false">IFERROR(VALUE(TRIM(LEFT(RIGHT(D23,18),11))),"")</f>
        <v/>
      </c>
      <c r="J23" s="13" t="str">
        <f aca="false">IFERROR(VALUE(TRIM(LEFT(RIGHT(I23,18),11))),"")</f>
        <v/>
      </c>
      <c r="N23" s="13" t="str">
        <f aca="false">IFERROR(VALUE(TRIM(LEFT(RIGHT(M23,18),11))),"")</f>
        <v/>
      </c>
    </row>
    <row r="24" customFormat="false" ht="14.25" hidden="false" customHeight="true" outlineLevel="0" collapsed="false">
      <c r="A24" s="12" t="str">
        <f aca="false">IF(E24="","",E24)</f>
        <v/>
      </c>
      <c r="B24" s="12" t="str">
        <f aca="false">IF(J24="","",J24)</f>
        <v/>
      </c>
      <c r="C24" s="12" t="str">
        <f aca="false">IF(N24="","",N24)</f>
        <v/>
      </c>
      <c r="E24" s="13" t="str">
        <f aca="false">IFERROR(VALUE(TRIM(LEFT(RIGHT(D24,18),11))),"")</f>
        <v/>
      </c>
      <c r="J24" s="13" t="str">
        <f aca="false">IFERROR(VALUE(TRIM(LEFT(RIGHT(I24,18),11))),"")</f>
        <v/>
      </c>
      <c r="N24" s="13" t="str">
        <f aca="false">IFERROR(VALUE(TRIM(LEFT(RIGHT(M24,18),11))),"")</f>
        <v/>
      </c>
    </row>
    <row r="25" customFormat="false" ht="14.25" hidden="false" customHeight="true" outlineLevel="0" collapsed="false">
      <c r="A25" s="12" t="str">
        <f aca="false">IF(E25="","",E25)</f>
        <v/>
      </c>
      <c r="B25" s="12" t="str">
        <f aca="false">IF(J25="","",J25)</f>
        <v/>
      </c>
      <c r="C25" s="12" t="str">
        <f aca="false">IF(N25="","",N25)</f>
        <v/>
      </c>
      <c r="E25" s="13" t="str">
        <f aca="false">IFERROR(VALUE(TRIM(LEFT(RIGHT(D25,18),11))),"")</f>
        <v/>
      </c>
      <c r="J25" s="13" t="str">
        <f aca="false">IFERROR(VALUE(TRIM(LEFT(RIGHT(I25,18),11))),"")</f>
        <v/>
      </c>
      <c r="N25" s="13" t="str">
        <f aca="false">IFERROR(VALUE(TRIM(LEFT(RIGHT(M25,18),11))),"")</f>
        <v/>
      </c>
    </row>
    <row r="26" customFormat="false" ht="14.25" hidden="false" customHeight="true" outlineLevel="0" collapsed="false">
      <c r="A26" s="12" t="str">
        <f aca="false">IF(E26="","",E26)</f>
        <v/>
      </c>
      <c r="B26" s="12" t="str">
        <f aca="false">IF(J26="","",J26)</f>
        <v/>
      </c>
      <c r="C26" s="12" t="str">
        <f aca="false">IF(N26="","",N26)</f>
        <v/>
      </c>
      <c r="E26" s="13" t="str">
        <f aca="false">IFERROR(VALUE(TRIM(LEFT(RIGHT(D26,18),11))),"")</f>
        <v/>
      </c>
      <c r="J26" s="13" t="str">
        <f aca="false">IFERROR(VALUE(TRIM(LEFT(RIGHT(I26,18),11))),"")</f>
        <v/>
      </c>
      <c r="N26" s="13" t="str">
        <f aca="false">IFERROR(VALUE(TRIM(LEFT(RIGHT(M26,18),11))),"")</f>
        <v/>
      </c>
    </row>
    <row r="27" customFormat="false" ht="14.25" hidden="false" customHeight="true" outlineLevel="0" collapsed="false">
      <c r="A27" s="12" t="str">
        <f aca="false">IF(E27="","",E27)</f>
        <v/>
      </c>
      <c r="B27" s="12" t="str">
        <f aca="false">IF(J27="","",J27)</f>
        <v/>
      </c>
      <c r="C27" s="12" t="str">
        <f aca="false">IF(N27="","",N27)</f>
        <v/>
      </c>
      <c r="E27" s="13" t="str">
        <f aca="false">IFERROR(VALUE(TRIM(LEFT(RIGHT(D27,18),11))),"")</f>
        <v/>
      </c>
      <c r="J27" s="13" t="str">
        <f aca="false">IFERROR(VALUE(TRIM(LEFT(RIGHT(I27,18),11))),"")</f>
        <v/>
      </c>
      <c r="N27" s="13" t="str">
        <f aca="false">IFERROR(VALUE(TRIM(LEFT(RIGHT(M27,18),11))),"")</f>
        <v/>
      </c>
    </row>
    <row r="28" customFormat="false" ht="14.25" hidden="false" customHeight="true" outlineLevel="0" collapsed="false">
      <c r="A28" s="12" t="str">
        <f aca="false">IF(E28="","",E28)</f>
        <v/>
      </c>
      <c r="B28" s="12" t="str">
        <f aca="false">IF(J28="","",J28)</f>
        <v/>
      </c>
      <c r="C28" s="12" t="str">
        <f aca="false">IF(N28="","",N28)</f>
        <v/>
      </c>
      <c r="E28" s="13" t="str">
        <f aca="false">IFERROR(VALUE(TRIM(LEFT(RIGHT(D28,18),11))),"")</f>
        <v/>
      </c>
      <c r="J28" s="13" t="str">
        <f aca="false">IFERROR(VALUE(TRIM(LEFT(RIGHT(I28,18),11))),"")</f>
        <v/>
      </c>
      <c r="N28" s="13" t="str">
        <f aca="false">IFERROR(VALUE(TRIM(LEFT(RIGHT(M28,18),11))),"")</f>
        <v/>
      </c>
    </row>
    <row r="29" customFormat="false" ht="14.25" hidden="false" customHeight="true" outlineLevel="0" collapsed="false">
      <c r="A29" s="12" t="str">
        <f aca="false">IF(E29="","",E29)</f>
        <v/>
      </c>
      <c r="B29" s="12" t="str">
        <f aca="false">IF(J29="","",J29)</f>
        <v/>
      </c>
      <c r="C29" s="12" t="str">
        <f aca="false">IF(N29="","",N29)</f>
        <v/>
      </c>
      <c r="E29" s="13" t="str">
        <f aca="false">IFERROR(VALUE(TRIM(LEFT(RIGHT(D29,18),11))),"")</f>
        <v/>
      </c>
      <c r="J29" s="13" t="str">
        <f aca="false">IFERROR(VALUE(TRIM(LEFT(RIGHT(I29,18),11))),"")</f>
        <v/>
      </c>
      <c r="N29" s="13" t="str">
        <f aca="false">IFERROR(VALUE(TRIM(LEFT(RIGHT(M29,18),11))),"")</f>
        <v/>
      </c>
    </row>
    <row r="30" customFormat="false" ht="14.25" hidden="false" customHeight="true" outlineLevel="0" collapsed="false">
      <c r="A30" s="12" t="str">
        <f aca="false">IF(E30="","",E30)</f>
        <v/>
      </c>
      <c r="B30" s="12" t="str">
        <f aca="false">IF(J30="","",J30)</f>
        <v/>
      </c>
      <c r="C30" s="12" t="str">
        <f aca="false">IF(N30="","",N30)</f>
        <v/>
      </c>
      <c r="E30" s="13" t="str">
        <f aca="false">IFERROR(VALUE(TRIM(LEFT(RIGHT(D30,18),11))),"")</f>
        <v/>
      </c>
      <c r="J30" s="13" t="str">
        <f aca="false">IFERROR(VALUE(TRIM(LEFT(RIGHT(I30,18),11))),"")</f>
        <v/>
      </c>
      <c r="N30" s="13" t="str">
        <f aca="false">IFERROR(VALUE(TRIM(LEFT(RIGHT(M30,18),11))),"")</f>
        <v/>
      </c>
    </row>
    <row r="31" customFormat="false" ht="14.25" hidden="false" customHeight="true" outlineLevel="0" collapsed="false">
      <c r="A31" s="12" t="str">
        <f aca="false">IF(E31="","",E31)</f>
        <v/>
      </c>
      <c r="B31" s="12" t="str">
        <f aca="false">IF(J31="","",J31)</f>
        <v/>
      </c>
      <c r="C31" s="12" t="str">
        <f aca="false">IF(N31="","",N31)</f>
        <v/>
      </c>
      <c r="E31" s="13" t="str">
        <f aca="false">IFERROR(VALUE(TRIM(LEFT(RIGHT(D31,18),11))),"")</f>
        <v/>
      </c>
      <c r="J31" s="13" t="str">
        <f aca="false">IFERROR(VALUE(TRIM(LEFT(RIGHT(I31,18),11))),"")</f>
        <v/>
      </c>
      <c r="N31" s="13" t="str">
        <f aca="false">IFERROR(VALUE(TRIM(LEFT(RIGHT(M31,18),11))),"")</f>
        <v/>
      </c>
    </row>
    <row r="32" customFormat="false" ht="14.25" hidden="false" customHeight="true" outlineLevel="0" collapsed="false">
      <c r="A32" s="12" t="str">
        <f aca="false">IF(E32="","",E32)</f>
        <v/>
      </c>
      <c r="B32" s="12" t="str">
        <f aca="false">IF(J32="","",J32)</f>
        <v/>
      </c>
      <c r="C32" s="12" t="str">
        <f aca="false">IF(N32="","",N32)</f>
        <v/>
      </c>
      <c r="E32" s="13" t="str">
        <f aca="false">IFERROR(VALUE(TRIM(LEFT(RIGHT(D32,18),11))),"")</f>
        <v/>
      </c>
      <c r="J32" s="13" t="str">
        <f aca="false">IFERROR(VALUE(TRIM(LEFT(RIGHT(I32,18),11))),"")</f>
        <v/>
      </c>
      <c r="N32" s="13" t="str">
        <f aca="false">IFERROR(VALUE(TRIM(LEFT(RIGHT(M32,18),11))),"")</f>
        <v/>
      </c>
    </row>
    <row r="33" customFormat="false" ht="14.25" hidden="false" customHeight="true" outlineLevel="0" collapsed="false">
      <c r="A33" s="12" t="str">
        <f aca="false">IF(E33="","",E33)</f>
        <v/>
      </c>
      <c r="B33" s="12" t="str">
        <f aca="false">IF(J33="","",J33)</f>
        <v/>
      </c>
      <c r="C33" s="12" t="str">
        <f aca="false">IF(N33="","",N33)</f>
        <v/>
      </c>
      <c r="E33" s="13" t="str">
        <f aca="false">IFERROR(VALUE(TRIM(LEFT(RIGHT(D33,18),11))),"")</f>
        <v/>
      </c>
      <c r="J33" s="13" t="str">
        <f aca="false">IFERROR(VALUE(TRIM(LEFT(RIGHT(I33,18),11))),"")</f>
        <v/>
      </c>
      <c r="N33" s="13" t="str">
        <f aca="false">IFERROR(VALUE(TRIM(LEFT(RIGHT(M33,18),11))),"")</f>
        <v/>
      </c>
    </row>
    <row r="34" customFormat="false" ht="14.25" hidden="false" customHeight="true" outlineLevel="0" collapsed="false">
      <c r="A34" s="12" t="str">
        <f aca="false">IF(E34="","",E34)</f>
        <v/>
      </c>
      <c r="B34" s="12" t="str">
        <f aca="false">IF(J34="","",J34)</f>
        <v/>
      </c>
      <c r="C34" s="12" t="str">
        <f aca="false">IF(N34="","",N34)</f>
        <v/>
      </c>
      <c r="E34" s="13" t="str">
        <f aca="false">IFERROR(VALUE(TRIM(LEFT(RIGHT(D34,18),11))),"")</f>
        <v/>
      </c>
      <c r="J34" s="13" t="str">
        <f aca="false">IFERROR(VALUE(TRIM(LEFT(RIGHT(I34,18),11))),"")</f>
        <v/>
      </c>
      <c r="N34" s="13" t="str">
        <f aca="false">IFERROR(VALUE(TRIM(LEFT(RIGHT(M34,18),11))),"")</f>
        <v/>
      </c>
    </row>
    <row r="35" customFormat="false" ht="14.25" hidden="false" customHeight="true" outlineLevel="0" collapsed="false">
      <c r="A35" s="12" t="str">
        <f aca="false">IF(E35="","",E35)</f>
        <v/>
      </c>
      <c r="B35" s="12" t="str">
        <f aca="false">IF(J35="","",J35)</f>
        <v/>
      </c>
      <c r="C35" s="12" t="str">
        <f aca="false">IF(N35="","",N35)</f>
        <v/>
      </c>
      <c r="E35" s="13" t="str">
        <f aca="false">IFERROR(VALUE(TRIM(LEFT(RIGHT(D35,18),11))),"")</f>
        <v/>
      </c>
      <c r="J35" s="13" t="str">
        <f aca="false">IFERROR(VALUE(TRIM(LEFT(RIGHT(I35,18),11))),"")</f>
        <v/>
      </c>
      <c r="N35" s="13" t="str">
        <f aca="false">IFERROR(VALUE(TRIM(LEFT(RIGHT(M35,18),11))),"")</f>
        <v/>
      </c>
    </row>
    <row r="36" customFormat="false" ht="14.25" hidden="false" customHeight="true" outlineLevel="0" collapsed="false">
      <c r="A36" s="12" t="str">
        <f aca="false">IF(E36="","",E36)</f>
        <v/>
      </c>
      <c r="B36" s="12" t="str">
        <f aca="false">IF(J36="","",J36)</f>
        <v/>
      </c>
      <c r="C36" s="12" t="str">
        <f aca="false">IF(N36="","",N36)</f>
        <v/>
      </c>
      <c r="E36" s="13" t="str">
        <f aca="false">IFERROR(VALUE(TRIM(LEFT(RIGHT(D36,18),11))),"")</f>
        <v/>
      </c>
      <c r="J36" s="13" t="str">
        <f aca="false">IFERROR(VALUE(TRIM(LEFT(RIGHT(I36,18),11))),"")</f>
        <v/>
      </c>
      <c r="N36" s="13" t="str">
        <f aca="false">IFERROR(VALUE(TRIM(LEFT(RIGHT(M36,18),11))),"")</f>
        <v/>
      </c>
    </row>
    <row r="37" customFormat="false" ht="14.25" hidden="false" customHeight="true" outlineLevel="0" collapsed="false">
      <c r="A37" s="12" t="str">
        <f aca="false">IF(E37="","",E37)</f>
        <v/>
      </c>
      <c r="B37" s="12" t="str">
        <f aca="false">IF(J37="","",J37)</f>
        <v/>
      </c>
      <c r="C37" s="12" t="str">
        <f aca="false">IF(N37="","",N37)</f>
        <v/>
      </c>
      <c r="E37" s="13" t="str">
        <f aca="false">IFERROR(VALUE(TRIM(LEFT(RIGHT(D37,18),11))),"")</f>
        <v/>
      </c>
      <c r="J37" s="13" t="str">
        <f aca="false">IFERROR(VALUE(TRIM(LEFT(RIGHT(I37,18),11))),"")</f>
        <v/>
      </c>
      <c r="N37" s="13" t="str">
        <f aca="false">IFERROR(VALUE(TRIM(LEFT(RIGHT(M37,18),11))),"")</f>
        <v/>
      </c>
    </row>
    <row r="38" customFormat="false" ht="14.25" hidden="false" customHeight="true" outlineLevel="0" collapsed="false">
      <c r="A38" s="12" t="str">
        <f aca="false">IF(E38="","",E38)</f>
        <v/>
      </c>
      <c r="B38" s="12" t="str">
        <f aca="false">IF(J38="","",J38)</f>
        <v/>
      </c>
      <c r="C38" s="12" t="str">
        <f aca="false">IF(N38="","",N38)</f>
        <v/>
      </c>
      <c r="E38" s="13" t="str">
        <f aca="false">IFERROR(VALUE(TRIM(LEFT(RIGHT(D38,18),11))),"")</f>
        <v/>
      </c>
      <c r="J38" s="13" t="str">
        <f aca="false">IFERROR(VALUE(TRIM(LEFT(RIGHT(I38,18),11))),"")</f>
        <v/>
      </c>
      <c r="N38" s="13" t="str">
        <f aca="false">IFERROR(VALUE(TRIM(LEFT(RIGHT(M38,18),11))),"")</f>
        <v/>
      </c>
    </row>
    <row r="39" customFormat="false" ht="14.25" hidden="false" customHeight="true" outlineLevel="0" collapsed="false">
      <c r="A39" s="12" t="str">
        <f aca="false">IF(E39="","",E39)</f>
        <v/>
      </c>
      <c r="B39" s="12" t="str">
        <f aca="false">IF(J39="","",J39)</f>
        <v/>
      </c>
      <c r="C39" s="12" t="str">
        <f aca="false">IF(N39="","",N39)</f>
        <v/>
      </c>
      <c r="E39" s="13" t="str">
        <f aca="false">IFERROR(VALUE(TRIM(LEFT(RIGHT(D39,18),11))),"")</f>
        <v/>
      </c>
      <c r="J39" s="13" t="str">
        <f aca="false">IFERROR(VALUE(TRIM(LEFT(RIGHT(I39,18),11))),"")</f>
        <v/>
      </c>
      <c r="N39" s="13" t="str">
        <f aca="false">IFERROR(VALUE(TRIM(LEFT(RIGHT(M39,18),11))),"")</f>
        <v/>
      </c>
    </row>
    <row r="40" customFormat="false" ht="14.25" hidden="false" customHeight="true" outlineLevel="0" collapsed="false">
      <c r="A40" s="12" t="str">
        <f aca="false">IF(E40="","",E40)</f>
        <v/>
      </c>
      <c r="B40" s="12" t="str">
        <f aca="false">IF(J40="","",J40)</f>
        <v/>
      </c>
      <c r="C40" s="12" t="str">
        <f aca="false">IF(N40="","",N40)</f>
        <v/>
      </c>
      <c r="E40" s="13" t="str">
        <f aca="false">IFERROR(VALUE(TRIM(LEFT(RIGHT(D40,18),11))),"")</f>
        <v/>
      </c>
      <c r="J40" s="13" t="str">
        <f aca="false">IFERROR(VALUE(TRIM(LEFT(RIGHT(I40,18),11))),"")</f>
        <v/>
      </c>
      <c r="N40" s="13" t="str">
        <f aca="false">IFERROR(VALUE(TRIM(LEFT(RIGHT(M40,18),11))),"")</f>
        <v/>
      </c>
    </row>
    <row r="41" customFormat="false" ht="14.25" hidden="false" customHeight="true" outlineLevel="0" collapsed="false">
      <c r="A41" s="12" t="str">
        <f aca="false">IF(E41="","",E41)</f>
        <v/>
      </c>
      <c r="B41" s="12" t="str">
        <f aca="false">IF(J41="","",J41)</f>
        <v/>
      </c>
      <c r="C41" s="12" t="str">
        <f aca="false">IF(N41="","",N41)</f>
        <v/>
      </c>
      <c r="E41" s="13" t="str">
        <f aca="false">IFERROR(VALUE(TRIM(LEFT(RIGHT(D41,18),11))),"")</f>
        <v/>
      </c>
      <c r="J41" s="13" t="str">
        <f aca="false">IFERROR(VALUE(TRIM(LEFT(RIGHT(I41,18),11))),"")</f>
        <v/>
      </c>
      <c r="N41" s="13" t="str">
        <f aca="false">IFERROR(VALUE(TRIM(LEFT(RIGHT(M41,18),11))),"")</f>
        <v/>
      </c>
    </row>
    <row r="42" customFormat="false" ht="14.25" hidden="false" customHeight="true" outlineLevel="0" collapsed="false">
      <c r="A42" s="12" t="str">
        <f aca="false">IF(E42="","",E42)</f>
        <v/>
      </c>
      <c r="B42" s="12" t="str">
        <f aca="false">IF(J42="","",J42)</f>
        <v/>
      </c>
      <c r="C42" s="12" t="str">
        <f aca="false">IF(N42="","",N42)</f>
        <v/>
      </c>
      <c r="E42" s="13" t="str">
        <f aca="false">IFERROR(VALUE(TRIM(LEFT(RIGHT(D42,18),11))),"")</f>
        <v/>
      </c>
      <c r="J42" s="13" t="str">
        <f aca="false">IFERROR(VALUE(TRIM(LEFT(RIGHT(I42,18),11))),"")</f>
        <v/>
      </c>
      <c r="N42" s="13" t="str">
        <f aca="false">IFERROR(VALUE(TRIM(LEFT(RIGHT(M42,18),11))),"")</f>
        <v/>
      </c>
    </row>
    <row r="43" customFormat="false" ht="14.25" hidden="false" customHeight="true" outlineLevel="0" collapsed="false">
      <c r="A43" s="12" t="str">
        <f aca="false">IF(E43="","",E43)</f>
        <v/>
      </c>
      <c r="B43" s="12" t="str">
        <f aca="false">IF(J43="","",J43)</f>
        <v/>
      </c>
      <c r="C43" s="12" t="str">
        <f aca="false">IF(N43="","",N43)</f>
        <v/>
      </c>
      <c r="E43" s="13" t="str">
        <f aca="false">IFERROR(VALUE(TRIM(LEFT(RIGHT(D43,18),11))),"")</f>
        <v/>
      </c>
      <c r="J43" s="13" t="str">
        <f aca="false">IFERROR(VALUE(TRIM(LEFT(RIGHT(I43,18),11))),"")</f>
        <v/>
      </c>
      <c r="N43" s="13" t="str">
        <f aca="false">IFERROR(VALUE(TRIM(LEFT(RIGHT(M43,18),11))),"")</f>
        <v/>
      </c>
    </row>
    <row r="44" customFormat="false" ht="14.25" hidden="false" customHeight="true" outlineLevel="0" collapsed="false">
      <c r="A44" s="12" t="str">
        <f aca="false">IF(E44="","",E44)</f>
        <v/>
      </c>
      <c r="B44" s="12" t="str">
        <f aca="false">IF(J44="","",J44)</f>
        <v/>
      </c>
      <c r="C44" s="12" t="str">
        <f aca="false">IF(N44="","",N44)</f>
        <v/>
      </c>
      <c r="E44" s="13" t="str">
        <f aca="false">IFERROR(VALUE(TRIM(LEFT(RIGHT(D44,18),11))),"")</f>
        <v/>
      </c>
      <c r="J44" s="13" t="str">
        <f aca="false">IFERROR(VALUE(TRIM(LEFT(RIGHT(I44,18),11))),"")</f>
        <v/>
      </c>
      <c r="N44" s="13" t="str">
        <f aca="false">IFERROR(VALUE(TRIM(LEFT(RIGHT(M44,18),11))),"")</f>
        <v/>
      </c>
    </row>
    <row r="45" customFormat="false" ht="14.25" hidden="false" customHeight="true" outlineLevel="0" collapsed="false">
      <c r="A45" s="12" t="str">
        <f aca="false">IF(E45="","",E45)</f>
        <v/>
      </c>
      <c r="B45" s="12" t="str">
        <f aca="false">IF(J45="","",J45)</f>
        <v/>
      </c>
      <c r="C45" s="12" t="str">
        <f aca="false">IF(N45="","",N45)</f>
        <v/>
      </c>
      <c r="E45" s="13" t="str">
        <f aca="false">IFERROR(VALUE(TRIM(LEFT(RIGHT(D45,18),11))),"")</f>
        <v/>
      </c>
      <c r="J45" s="13" t="str">
        <f aca="false">IFERROR(VALUE(TRIM(LEFT(RIGHT(I45,18),11))),"")</f>
        <v/>
      </c>
      <c r="N45" s="13" t="str">
        <f aca="false">IFERROR(VALUE(TRIM(LEFT(RIGHT(M45,18),11))),"")</f>
        <v/>
      </c>
    </row>
    <row r="46" customFormat="false" ht="14.25" hidden="false" customHeight="true" outlineLevel="0" collapsed="false">
      <c r="A46" s="12" t="str">
        <f aca="false">IF(E46="","",E46)</f>
        <v/>
      </c>
      <c r="B46" s="12" t="str">
        <f aca="false">IF(J46="","",J46)</f>
        <v/>
      </c>
      <c r="C46" s="12" t="str">
        <f aca="false">IF(N46="","",N46)</f>
        <v/>
      </c>
      <c r="E46" s="13" t="str">
        <f aca="false">IFERROR(VALUE(TRIM(LEFT(RIGHT(D46,18),11))),"")</f>
        <v/>
      </c>
      <c r="J46" s="13" t="str">
        <f aca="false">IFERROR(VALUE(TRIM(LEFT(RIGHT(I46,18),11))),"")</f>
        <v/>
      </c>
      <c r="N46" s="13" t="str">
        <f aca="false">IFERROR(VALUE(TRIM(LEFT(RIGHT(M46,18),11))),"")</f>
        <v/>
      </c>
    </row>
    <row r="47" customFormat="false" ht="14.25" hidden="false" customHeight="true" outlineLevel="0" collapsed="false">
      <c r="A47" s="12" t="str">
        <f aca="false">IF(E47="","",E47)</f>
        <v/>
      </c>
      <c r="B47" s="12" t="str">
        <f aca="false">IF(J47="","",J47)</f>
        <v/>
      </c>
      <c r="C47" s="12" t="str">
        <f aca="false">IF(N47="","",N47)</f>
        <v/>
      </c>
      <c r="E47" s="13" t="str">
        <f aca="false">IFERROR(VALUE(TRIM(LEFT(RIGHT(D47,18),11))),"")</f>
        <v/>
      </c>
      <c r="J47" s="13" t="str">
        <f aca="false">IFERROR(VALUE(TRIM(LEFT(RIGHT(I47,18),11))),"")</f>
        <v/>
      </c>
      <c r="N47" s="13" t="str">
        <f aca="false">IFERROR(VALUE(TRIM(LEFT(RIGHT(M47,18),11))),"")</f>
        <v/>
      </c>
    </row>
    <row r="48" customFormat="false" ht="14.25" hidden="false" customHeight="true" outlineLevel="0" collapsed="false">
      <c r="A48" s="12" t="str">
        <f aca="false">IF(E48="","",E48)</f>
        <v/>
      </c>
      <c r="B48" s="12" t="str">
        <f aca="false">IF(J48="","",J48)</f>
        <v/>
      </c>
      <c r="C48" s="12" t="str">
        <f aca="false">IF(N48="","",N48)</f>
        <v/>
      </c>
      <c r="E48" s="13" t="str">
        <f aca="false">IFERROR(VALUE(TRIM(LEFT(RIGHT(D48,18),11))),"")</f>
        <v/>
      </c>
      <c r="J48" s="13" t="str">
        <f aca="false">IFERROR(VALUE(TRIM(LEFT(RIGHT(I48,18),11))),"")</f>
        <v/>
      </c>
      <c r="N48" s="13" t="str">
        <f aca="false">IFERROR(VALUE(TRIM(LEFT(RIGHT(M48,18),11))),"")</f>
        <v/>
      </c>
    </row>
    <row r="49" customFormat="false" ht="14.25" hidden="false" customHeight="true" outlineLevel="0" collapsed="false">
      <c r="A49" s="12" t="str">
        <f aca="false">IF(E49="","",E49)</f>
        <v/>
      </c>
      <c r="B49" s="12" t="str">
        <f aca="false">IF(J49="","",J49)</f>
        <v/>
      </c>
      <c r="C49" s="12" t="str">
        <f aca="false">IF(N49="","",N49)</f>
        <v/>
      </c>
      <c r="E49" s="13" t="str">
        <f aca="false">IFERROR(VALUE(TRIM(LEFT(RIGHT(D49,18),11))),"")</f>
        <v/>
      </c>
      <c r="J49" s="13" t="str">
        <f aca="false">IFERROR(VALUE(TRIM(LEFT(RIGHT(I49,18),11))),"")</f>
        <v/>
      </c>
      <c r="N49" s="13" t="str">
        <f aca="false">IFERROR(VALUE(TRIM(LEFT(RIGHT(M49,18),11))),"")</f>
        <v/>
      </c>
    </row>
    <row r="50" customFormat="false" ht="14.25" hidden="false" customHeight="true" outlineLevel="0" collapsed="false">
      <c r="A50" s="12" t="str">
        <f aca="false">IF(E50="","",E50)</f>
        <v/>
      </c>
      <c r="B50" s="12" t="str">
        <f aca="false">IF(J50="","",J50)</f>
        <v/>
      </c>
      <c r="C50" s="12" t="str">
        <f aca="false">IF(N50="","",N50)</f>
        <v/>
      </c>
      <c r="E50" s="13" t="str">
        <f aca="false">IFERROR(VALUE(TRIM(LEFT(RIGHT(D50,18),11))),"")</f>
        <v/>
      </c>
      <c r="J50" s="13" t="str">
        <f aca="false">IFERROR(VALUE(TRIM(LEFT(RIGHT(I50,18),11))),"")</f>
        <v/>
      </c>
      <c r="N50" s="13" t="str">
        <f aca="false">IFERROR(VALUE(TRIM(LEFT(RIGHT(M50,18),11))),"")</f>
        <v/>
      </c>
    </row>
    <row r="51" customFormat="false" ht="14.25" hidden="false" customHeight="true" outlineLevel="0" collapsed="false">
      <c r="A51" s="12" t="str">
        <f aca="false">IF(E51="","",E51)</f>
        <v/>
      </c>
      <c r="B51" s="12" t="str">
        <f aca="false">IF(J51="","",J51)</f>
        <v/>
      </c>
      <c r="C51" s="12" t="str">
        <f aca="false">IF(N51="","",N51)</f>
        <v/>
      </c>
      <c r="E51" s="13" t="str">
        <f aca="false">IFERROR(VALUE(TRIM(LEFT(RIGHT(D51,18),11))),"")</f>
        <v/>
      </c>
      <c r="J51" s="13" t="str">
        <f aca="false">IFERROR(VALUE(TRIM(LEFT(RIGHT(I51,18),11))),"")</f>
        <v/>
      </c>
      <c r="N51" s="13" t="str">
        <f aca="false">IFERROR(VALUE(TRIM(LEFT(RIGHT(M51,18),11))),"")</f>
        <v/>
      </c>
    </row>
    <row r="52" customFormat="false" ht="14.25" hidden="false" customHeight="true" outlineLevel="0" collapsed="false">
      <c r="A52" s="12" t="str">
        <f aca="false">IF(E52="","",E52)</f>
        <v/>
      </c>
      <c r="B52" s="12" t="str">
        <f aca="false">IF(J52="","",J52)</f>
        <v/>
      </c>
      <c r="C52" s="12" t="str">
        <f aca="false">IF(N52="","",N52)</f>
        <v/>
      </c>
      <c r="E52" s="13" t="str">
        <f aca="false">IFERROR(VALUE(TRIM(LEFT(RIGHT(D52,18),11))),"")</f>
        <v/>
      </c>
      <c r="J52" s="13" t="str">
        <f aca="false">IFERROR(VALUE(TRIM(LEFT(RIGHT(I52,18),11))),"")</f>
        <v/>
      </c>
      <c r="N52" s="13" t="str">
        <f aca="false">IFERROR(VALUE(TRIM(LEFT(RIGHT(M52,18),11))),"")</f>
        <v/>
      </c>
    </row>
    <row r="53" customFormat="false" ht="14.25" hidden="false" customHeight="true" outlineLevel="0" collapsed="false">
      <c r="A53" s="12" t="str">
        <f aca="false">IF(E53="","",E53)</f>
        <v/>
      </c>
      <c r="B53" s="12" t="str">
        <f aca="false">IF(J53="","",J53)</f>
        <v/>
      </c>
      <c r="C53" s="12" t="str">
        <f aca="false">IF(N53="","",N53)</f>
        <v/>
      </c>
      <c r="E53" s="13" t="str">
        <f aca="false">IFERROR(VALUE(TRIM(LEFT(RIGHT(D53,18),11))),"")</f>
        <v/>
      </c>
      <c r="J53" s="13" t="str">
        <f aca="false">IFERROR(VALUE(TRIM(LEFT(RIGHT(I53,18),11))),"")</f>
        <v/>
      </c>
      <c r="N53" s="13" t="str">
        <f aca="false">IFERROR(VALUE(TRIM(LEFT(RIGHT(M53,18),11))),"")</f>
        <v/>
      </c>
    </row>
    <row r="54" customFormat="false" ht="14.25" hidden="false" customHeight="true" outlineLevel="0" collapsed="false">
      <c r="A54" s="12" t="str">
        <f aca="false">IF(E54="","",E54)</f>
        <v/>
      </c>
      <c r="B54" s="12" t="str">
        <f aca="false">IF(J54="","",J54)</f>
        <v/>
      </c>
      <c r="C54" s="12" t="str">
        <f aca="false">IF(N54="","",N54)</f>
        <v/>
      </c>
      <c r="E54" s="13" t="str">
        <f aca="false">IFERROR(VALUE(TRIM(LEFT(RIGHT(D54,18),11))),"")</f>
        <v/>
      </c>
      <c r="J54" s="13" t="str">
        <f aca="false">IFERROR(VALUE(TRIM(LEFT(RIGHT(I54,18),11))),"")</f>
        <v/>
      </c>
      <c r="N54" s="13" t="str">
        <f aca="false">IFERROR(VALUE(TRIM(LEFT(RIGHT(M54,18),11))),"")</f>
        <v/>
      </c>
    </row>
    <row r="55" customFormat="false" ht="14.25" hidden="false" customHeight="true" outlineLevel="0" collapsed="false">
      <c r="A55" s="12" t="str">
        <f aca="false">IF(E55="","",E55)</f>
        <v/>
      </c>
      <c r="B55" s="12" t="str">
        <f aca="false">IF(J55="","",J55)</f>
        <v/>
      </c>
      <c r="C55" s="12" t="str">
        <f aca="false">IF(N55="","",N55)</f>
        <v/>
      </c>
      <c r="E55" s="13" t="str">
        <f aca="false">IFERROR(VALUE(TRIM(LEFT(RIGHT(D55,18),11))),"")</f>
        <v/>
      </c>
      <c r="J55" s="13" t="str">
        <f aca="false">IFERROR(VALUE(TRIM(LEFT(RIGHT(I55,18),11))),"")</f>
        <v/>
      </c>
      <c r="N55" s="13" t="str">
        <f aca="false">IFERROR(VALUE(TRIM(LEFT(RIGHT(M55,18),11))),"")</f>
        <v/>
      </c>
    </row>
    <row r="56" customFormat="false" ht="14.25" hidden="false" customHeight="true" outlineLevel="0" collapsed="false">
      <c r="A56" s="12" t="str">
        <f aca="false">IF(E56="","",E56)</f>
        <v/>
      </c>
      <c r="B56" s="12" t="str">
        <f aca="false">IF(J56="","",J56)</f>
        <v/>
      </c>
      <c r="C56" s="12" t="str">
        <f aca="false">IF(N56="","",N56)</f>
        <v/>
      </c>
      <c r="E56" s="13" t="str">
        <f aca="false">IFERROR(VALUE(TRIM(LEFT(RIGHT(D56,18),11))),"")</f>
        <v/>
      </c>
      <c r="J56" s="13" t="str">
        <f aca="false">IFERROR(VALUE(TRIM(LEFT(RIGHT(I56,18),11))),"")</f>
        <v/>
      </c>
      <c r="N56" s="13" t="str">
        <f aca="false">IFERROR(VALUE(TRIM(LEFT(RIGHT(M56,18),11))),"")</f>
        <v/>
      </c>
    </row>
    <row r="57" customFormat="false" ht="14.25" hidden="false" customHeight="true" outlineLevel="0" collapsed="false">
      <c r="A57" s="12" t="str">
        <f aca="false">IF(E57="","",E57)</f>
        <v/>
      </c>
      <c r="B57" s="12" t="str">
        <f aca="false">IF(J57="","",J57)</f>
        <v/>
      </c>
      <c r="C57" s="12" t="str">
        <f aca="false">IF(N57="","",N57)</f>
        <v/>
      </c>
      <c r="E57" s="13" t="str">
        <f aca="false">IFERROR(VALUE(TRIM(LEFT(RIGHT(D57,18),11))),"")</f>
        <v/>
      </c>
      <c r="J57" s="13" t="str">
        <f aca="false">IFERROR(VALUE(TRIM(LEFT(RIGHT(I57,18),11))),"")</f>
        <v/>
      </c>
      <c r="N57" s="13" t="str">
        <f aca="false">IFERROR(VALUE(TRIM(LEFT(RIGHT(M57,18),11))),"")</f>
        <v/>
      </c>
    </row>
    <row r="58" customFormat="false" ht="14.25" hidden="false" customHeight="true" outlineLevel="0" collapsed="false">
      <c r="A58" s="12" t="str">
        <f aca="false">IF(E58="","",E58)</f>
        <v/>
      </c>
      <c r="B58" s="12" t="str">
        <f aca="false">IF(J58="","",J58)</f>
        <v/>
      </c>
      <c r="C58" s="12" t="str">
        <f aca="false">IF(N58="","",N58)</f>
        <v/>
      </c>
      <c r="E58" s="13" t="str">
        <f aca="false">IFERROR(VALUE(TRIM(LEFT(RIGHT(D58,18),11))),"")</f>
        <v/>
      </c>
      <c r="J58" s="13" t="str">
        <f aca="false">IFERROR(VALUE(TRIM(LEFT(RIGHT(I58,18),11))),"")</f>
        <v/>
      </c>
      <c r="N58" s="13" t="str">
        <f aca="false">IFERROR(VALUE(TRIM(LEFT(RIGHT(M58,18),11))),"")</f>
        <v/>
      </c>
    </row>
    <row r="59" customFormat="false" ht="14.25" hidden="false" customHeight="true" outlineLevel="0" collapsed="false">
      <c r="A59" s="12" t="str">
        <f aca="false">IF(E59="","",E59)</f>
        <v/>
      </c>
      <c r="B59" s="12" t="str">
        <f aca="false">IF(J59="","",J59)</f>
        <v/>
      </c>
      <c r="C59" s="12" t="str">
        <f aca="false">IF(N59="","",N59)</f>
        <v/>
      </c>
      <c r="E59" s="13" t="str">
        <f aca="false">IFERROR(VALUE(TRIM(LEFT(RIGHT(D59,18),11))),"")</f>
        <v/>
      </c>
      <c r="J59" s="13" t="str">
        <f aca="false">IFERROR(VALUE(TRIM(LEFT(RIGHT(I59,18),11))),"")</f>
        <v/>
      </c>
      <c r="N59" s="13" t="str">
        <f aca="false">IFERROR(VALUE(TRIM(LEFT(RIGHT(M59,18),11))),"")</f>
        <v/>
      </c>
    </row>
    <row r="60" customFormat="false" ht="14.25" hidden="false" customHeight="true" outlineLevel="0" collapsed="false">
      <c r="A60" s="12" t="str">
        <f aca="false">IF(E60="","",E60)</f>
        <v/>
      </c>
      <c r="B60" s="12" t="str">
        <f aca="false">IF(J60="","",J60)</f>
        <v/>
      </c>
      <c r="C60" s="12" t="str">
        <f aca="false">IF(N60="","",N60)</f>
        <v/>
      </c>
      <c r="E60" s="13" t="str">
        <f aca="false">IFERROR(VALUE(TRIM(LEFT(RIGHT(D60,18),11))),"")</f>
        <v/>
      </c>
      <c r="J60" s="13" t="str">
        <f aca="false">IFERROR(VALUE(TRIM(LEFT(RIGHT(I60,18),11))),"")</f>
        <v/>
      </c>
      <c r="N60" s="13" t="str">
        <f aca="false">IFERROR(VALUE(TRIM(LEFT(RIGHT(M60,18),11))),"")</f>
        <v/>
      </c>
    </row>
    <row r="61" customFormat="false" ht="14.25" hidden="false" customHeight="true" outlineLevel="0" collapsed="false">
      <c r="A61" s="12" t="str">
        <f aca="false">IF(E61="","",E61)</f>
        <v/>
      </c>
      <c r="B61" s="12" t="str">
        <f aca="false">IF(J61="","",J61)</f>
        <v/>
      </c>
      <c r="C61" s="12" t="str">
        <f aca="false">IF(N61="","",N61)</f>
        <v/>
      </c>
      <c r="E61" s="13" t="str">
        <f aca="false">IFERROR(VALUE(TRIM(LEFT(RIGHT(D61,18),11))),"")</f>
        <v/>
      </c>
      <c r="J61" s="13" t="str">
        <f aca="false">IFERROR(VALUE(TRIM(LEFT(RIGHT(I61,18),11))),"")</f>
        <v/>
      </c>
      <c r="N61" s="13" t="str">
        <f aca="false">IFERROR(VALUE(TRIM(LEFT(RIGHT(M61,18),11))),"")</f>
        <v/>
      </c>
    </row>
    <row r="62" customFormat="false" ht="14.25" hidden="false" customHeight="true" outlineLevel="0" collapsed="false">
      <c r="A62" s="12" t="str">
        <f aca="false">IF(E62="","",E62)</f>
        <v/>
      </c>
      <c r="B62" s="12" t="str">
        <f aca="false">IF(J62="","",J62)</f>
        <v/>
      </c>
      <c r="C62" s="12" t="str">
        <f aca="false">IF(N62="","",N62)</f>
        <v/>
      </c>
      <c r="E62" s="13" t="str">
        <f aca="false">IFERROR(VALUE(TRIM(LEFT(RIGHT(D62,18),11))),"")</f>
        <v/>
      </c>
      <c r="J62" s="13" t="str">
        <f aca="false">IFERROR(VALUE(TRIM(LEFT(RIGHT(I62,18),11))),"")</f>
        <v/>
      </c>
      <c r="N62" s="13" t="str">
        <f aca="false">IFERROR(VALUE(TRIM(LEFT(RIGHT(M62,18),11))),"")</f>
        <v/>
      </c>
    </row>
    <row r="63" customFormat="false" ht="14.25" hidden="false" customHeight="true" outlineLevel="0" collapsed="false">
      <c r="A63" s="12" t="str">
        <f aca="false">IF(E63="","",E63)</f>
        <v/>
      </c>
      <c r="B63" s="12" t="str">
        <f aca="false">IF(J63="","",J63)</f>
        <v/>
      </c>
      <c r="C63" s="12" t="str">
        <f aca="false">IF(N63="","",N63)</f>
        <v/>
      </c>
      <c r="E63" s="13" t="str">
        <f aca="false">IFERROR(VALUE(TRIM(LEFT(RIGHT(D63,18),11))),"")</f>
        <v/>
      </c>
      <c r="J63" s="13" t="str">
        <f aca="false">IFERROR(VALUE(TRIM(LEFT(RIGHT(I63,18),11))),"")</f>
        <v/>
      </c>
      <c r="N63" s="13" t="str">
        <f aca="false">IFERROR(VALUE(TRIM(LEFT(RIGHT(M63,18),11))),"")</f>
        <v/>
      </c>
    </row>
    <row r="64" customFormat="false" ht="14.25" hidden="false" customHeight="true" outlineLevel="0" collapsed="false">
      <c r="A64" s="12" t="str">
        <f aca="false">IF(E64="","",E64)</f>
        <v/>
      </c>
      <c r="B64" s="12" t="str">
        <f aca="false">IF(J64="","",J64)</f>
        <v/>
      </c>
      <c r="C64" s="12" t="str">
        <f aca="false">IF(N64="","",N64)</f>
        <v/>
      </c>
      <c r="E64" s="13" t="str">
        <f aca="false">IFERROR(VALUE(TRIM(LEFT(RIGHT(D64,18),11))),"")</f>
        <v/>
      </c>
      <c r="J64" s="13" t="str">
        <f aca="false">IFERROR(VALUE(TRIM(LEFT(RIGHT(I64,18),11))),"")</f>
        <v/>
      </c>
      <c r="N64" s="13" t="str">
        <f aca="false">IFERROR(VALUE(TRIM(LEFT(RIGHT(M64,18),11))),"")</f>
        <v/>
      </c>
    </row>
    <row r="65" customFormat="false" ht="14.25" hidden="false" customHeight="true" outlineLevel="0" collapsed="false">
      <c r="A65" s="12" t="str">
        <f aca="false">IF(E65="","",E65)</f>
        <v/>
      </c>
      <c r="B65" s="12" t="str">
        <f aca="false">IF(J65="","",J65)</f>
        <v/>
      </c>
      <c r="C65" s="12" t="str">
        <f aca="false">IF(N65="","",N65)</f>
        <v/>
      </c>
      <c r="E65" s="13" t="str">
        <f aca="false">IFERROR(VALUE(TRIM(LEFT(RIGHT(D65,18),11))),"")</f>
        <v/>
      </c>
      <c r="J65" s="13" t="str">
        <f aca="false">IFERROR(VALUE(TRIM(LEFT(RIGHT(I65,18),11))),"")</f>
        <v/>
      </c>
      <c r="N65" s="13" t="str">
        <f aca="false">IFERROR(VALUE(TRIM(LEFT(RIGHT(M65,18),11))),"")</f>
        <v/>
      </c>
    </row>
    <row r="66" customFormat="false" ht="14.25" hidden="false" customHeight="true" outlineLevel="0" collapsed="false">
      <c r="A66" s="12" t="str">
        <f aca="false">IF(E66="","",E66)</f>
        <v/>
      </c>
      <c r="B66" s="12" t="str">
        <f aca="false">IF(J66="","",J66)</f>
        <v/>
      </c>
      <c r="C66" s="12" t="str">
        <f aca="false">IF(N66="","",N66)</f>
        <v/>
      </c>
      <c r="E66" s="13" t="str">
        <f aca="false">IFERROR(VALUE(TRIM(LEFT(RIGHT(D66,18),11))),"")</f>
        <v/>
      </c>
      <c r="J66" s="13" t="str">
        <f aca="false">IFERROR(VALUE(TRIM(LEFT(RIGHT(I66,18),11))),"")</f>
        <v/>
      </c>
      <c r="N66" s="13" t="str">
        <f aca="false">IFERROR(VALUE(TRIM(LEFT(RIGHT(M66,18),11))),"")</f>
        <v/>
      </c>
    </row>
    <row r="67" customFormat="false" ht="14.25" hidden="false" customHeight="true" outlineLevel="0" collapsed="false">
      <c r="A67" s="12" t="str">
        <f aca="false">IF(E67="","",E67)</f>
        <v/>
      </c>
      <c r="B67" s="12" t="str">
        <f aca="false">IF(J67="","",J67)</f>
        <v/>
      </c>
      <c r="C67" s="12" t="str">
        <f aca="false">IF(N67="","",N67)</f>
        <v/>
      </c>
      <c r="E67" s="13" t="str">
        <f aca="false">IFERROR(VALUE(TRIM(LEFT(RIGHT(D67,18),11))),"")</f>
        <v/>
      </c>
      <c r="J67" s="13" t="str">
        <f aca="false">IFERROR(VALUE(TRIM(LEFT(RIGHT(I67,18),11))),"")</f>
        <v/>
      </c>
      <c r="N67" s="13" t="str">
        <f aca="false">IFERROR(VALUE(TRIM(LEFT(RIGHT(M67,18),11))),"")</f>
        <v/>
      </c>
    </row>
    <row r="68" customFormat="false" ht="14.25" hidden="false" customHeight="true" outlineLevel="0" collapsed="false">
      <c r="A68" s="12" t="str">
        <f aca="false">IF(E68="","",E68)</f>
        <v/>
      </c>
      <c r="B68" s="12" t="str">
        <f aca="false">IF(J68="","",J68)</f>
        <v/>
      </c>
      <c r="C68" s="12" t="str">
        <f aca="false">IF(N68="","",N68)</f>
        <v/>
      </c>
      <c r="E68" s="13" t="str">
        <f aca="false">IFERROR(VALUE(TRIM(LEFT(RIGHT(D68,18),11))),"")</f>
        <v/>
      </c>
      <c r="J68" s="13" t="str">
        <f aca="false">IFERROR(VALUE(TRIM(LEFT(RIGHT(I68,18),11))),"")</f>
        <v/>
      </c>
      <c r="N68" s="13" t="str">
        <f aca="false">IFERROR(VALUE(TRIM(LEFT(RIGHT(M68,18),11))),"")</f>
        <v/>
      </c>
    </row>
    <row r="69" customFormat="false" ht="14.25" hidden="false" customHeight="true" outlineLevel="0" collapsed="false">
      <c r="A69" s="12" t="str">
        <f aca="false">IF(E69="","",E69)</f>
        <v/>
      </c>
      <c r="B69" s="12" t="str">
        <f aca="false">IF(J69="","",J69)</f>
        <v/>
      </c>
      <c r="C69" s="12" t="str">
        <f aca="false">IF(N69="","",N69)</f>
        <v/>
      </c>
      <c r="E69" s="13" t="str">
        <f aca="false">IFERROR(VALUE(TRIM(LEFT(RIGHT(D69,18),11))),"")</f>
        <v/>
      </c>
      <c r="J69" s="13" t="str">
        <f aca="false">IFERROR(VALUE(TRIM(LEFT(RIGHT(I69,18),11))),"")</f>
        <v/>
      </c>
      <c r="N69" s="13" t="str">
        <f aca="false">IFERROR(VALUE(TRIM(LEFT(RIGHT(M69,18),11))),"")</f>
        <v/>
      </c>
    </row>
    <row r="70" customFormat="false" ht="14.25" hidden="false" customHeight="true" outlineLevel="0" collapsed="false">
      <c r="A70" s="12" t="str">
        <f aca="false">IF(E70="","",E70)</f>
        <v/>
      </c>
      <c r="B70" s="12" t="str">
        <f aca="false">IF(J70="","",J70)</f>
        <v/>
      </c>
      <c r="C70" s="12" t="str">
        <f aca="false">IF(N70="","",N70)</f>
        <v/>
      </c>
      <c r="E70" s="13" t="str">
        <f aca="false">IFERROR(VALUE(TRIM(LEFT(RIGHT(D70,18),11))),"")</f>
        <v/>
      </c>
      <c r="J70" s="13" t="str">
        <f aca="false">IFERROR(VALUE(TRIM(LEFT(RIGHT(I70,18),11))),"")</f>
        <v/>
      </c>
      <c r="N70" s="13" t="str">
        <f aca="false">IFERROR(VALUE(TRIM(LEFT(RIGHT(M70,18),11))),"")</f>
        <v/>
      </c>
    </row>
    <row r="71" customFormat="false" ht="14.25" hidden="false" customHeight="true" outlineLevel="0" collapsed="false">
      <c r="A71" s="12" t="str">
        <f aca="false">IF(E71="","",E71)</f>
        <v/>
      </c>
      <c r="B71" s="12" t="str">
        <f aca="false">IF(J71="","",J71)</f>
        <v/>
      </c>
      <c r="C71" s="12" t="str">
        <f aca="false">IF(N71="","",N71)</f>
        <v/>
      </c>
      <c r="E71" s="13" t="str">
        <f aca="false">IFERROR(VALUE(TRIM(LEFT(RIGHT(D71,18),11))),"")</f>
        <v/>
      </c>
      <c r="J71" s="13" t="str">
        <f aca="false">IFERROR(VALUE(TRIM(LEFT(RIGHT(I71,18),11))),"")</f>
        <v/>
      </c>
      <c r="N71" s="13" t="str">
        <f aca="false">IFERROR(VALUE(TRIM(LEFT(RIGHT(M71,18),11))),"")</f>
        <v/>
      </c>
    </row>
    <row r="72" customFormat="false" ht="14.25" hidden="false" customHeight="true" outlineLevel="0" collapsed="false">
      <c r="A72" s="12" t="str">
        <f aca="false">IF(E72="","",E72)</f>
        <v/>
      </c>
      <c r="B72" s="12" t="str">
        <f aca="false">IF(J72="","",J72)</f>
        <v/>
      </c>
      <c r="C72" s="12" t="str">
        <f aca="false">IF(N72="","",N72)</f>
        <v/>
      </c>
      <c r="E72" s="13" t="str">
        <f aca="false">IFERROR(VALUE(TRIM(LEFT(RIGHT(D72,18),11))),"")</f>
        <v/>
      </c>
      <c r="J72" s="13" t="str">
        <f aca="false">IFERROR(VALUE(TRIM(LEFT(RIGHT(I72,18),11))),"")</f>
        <v/>
      </c>
      <c r="N72" s="13" t="str">
        <f aca="false">IFERROR(VALUE(TRIM(LEFT(RIGHT(M72,18),11))),"")</f>
        <v/>
      </c>
    </row>
    <row r="73" customFormat="false" ht="14.25" hidden="false" customHeight="true" outlineLevel="0" collapsed="false">
      <c r="A73" s="12" t="str">
        <f aca="false">IF(E73="","",E73)</f>
        <v/>
      </c>
      <c r="B73" s="12" t="str">
        <f aca="false">IF(J73="","",J73)</f>
        <v/>
      </c>
      <c r="C73" s="12" t="str">
        <f aca="false">IF(N73="","",N73)</f>
        <v/>
      </c>
      <c r="E73" s="13" t="str">
        <f aca="false">IFERROR(VALUE(TRIM(LEFT(RIGHT(D73,18),11))),"")</f>
        <v/>
      </c>
      <c r="J73" s="13" t="str">
        <f aca="false">IFERROR(VALUE(TRIM(LEFT(RIGHT(I73,18),11))),"")</f>
        <v/>
      </c>
      <c r="N73" s="13" t="str">
        <f aca="false">IFERROR(VALUE(TRIM(LEFT(RIGHT(M73,18),11))),"")</f>
        <v/>
      </c>
    </row>
    <row r="74" customFormat="false" ht="14.25" hidden="false" customHeight="true" outlineLevel="0" collapsed="false">
      <c r="A74" s="12" t="str">
        <f aca="false">IF(E74="","",E74)</f>
        <v/>
      </c>
      <c r="B74" s="12" t="str">
        <f aca="false">IF(J74="","",J74)</f>
        <v/>
      </c>
      <c r="C74" s="12" t="str">
        <f aca="false">IF(N74="","",N74)</f>
        <v/>
      </c>
      <c r="E74" s="13" t="str">
        <f aca="false">IFERROR(VALUE(TRIM(LEFT(RIGHT(D74,18),11))),"")</f>
        <v/>
      </c>
      <c r="J74" s="13" t="str">
        <f aca="false">IFERROR(VALUE(TRIM(LEFT(RIGHT(I74,18),11))),"")</f>
        <v/>
      </c>
      <c r="N74" s="13" t="str">
        <f aca="false">IFERROR(VALUE(TRIM(LEFT(RIGHT(M74,18),11))),"")</f>
        <v/>
      </c>
    </row>
    <row r="75" customFormat="false" ht="14.25" hidden="false" customHeight="true" outlineLevel="0" collapsed="false">
      <c r="A75" s="12" t="str">
        <f aca="false">IF(E75="","",E75)</f>
        <v/>
      </c>
      <c r="B75" s="12" t="str">
        <f aca="false">IF(J75="","",J75)</f>
        <v/>
      </c>
      <c r="C75" s="12" t="str">
        <f aca="false">IF(N75="","",N75)</f>
        <v/>
      </c>
      <c r="E75" s="13" t="str">
        <f aca="false">IFERROR(VALUE(TRIM(LEFT(RIGHT(D75,18),11))),"")</f>
        <v/>
      </c>
      <c r="J75" s="13" t="str">
        <f aca="false">IFERROR(VALUE(TRIM(LEFT(RIGHT(I75,18),11))),"")</f>
        <v/>
      </c>
      <c r="N75" s="13" t="str">
        <f aca="false">IFERROR(VALUE(TRIM(LEFT(RIGHT(M75,18),11))),"")</f>
        <v/>
      </c>
    </row>
    <row r="76" customFormat="false" ht="14.25" hidden="false" customHeight="true" outlineLevel="0" collapsed="false">
      <c r="A76" s="12" t="str">
        <f aca="false">IF(E76="","",E76)</f>
        <v/>
      </c>
      <c r="B76" s="12" t="str">
        <f aca="false">IF(J76="","",J76)</f>
        <v/>
      </c>
      <c r="C76" s="12" t="str">
        <f aca="false">IF(N76="","",N76)</f>
        <v/>
      </c>
      <c r="E76" s="13" t="str">
        <f aca="false">IFERROR(VALUE(TRIM(LEFT(RIGHT(D76,18),11))),"")</f>
        <v/>
      </c>
      <c r="J76" s="13" t="str">
        <f aca="false">IFERROR(VALUE(TRIM(LEFT(RIGHT(I76,18),11))),"")</f>
        <v/>
      </c>
      <c r="N76" s="13" t="str">
        <f aca="false">IFERROR(VALUE(TRIM(LEFT(RIGHT(M76,18),11))),"")</f>
        <v/>
      </c>
    </row>
    <row r="77" customFormat="false" ht="14.25" hidden="false" customHeight="true" outlineLevel="0" collapsed="false">
      <c r="A77" s="12" t="str">
        <f aca="false">IF(E77="","",E77)</f>
        <v/>
      </c>
      <c r="B77" s="12" t="str">
        <f aca="false">IF(J77="","",J77)</f>
        <v/>
      </c>
      <c r="C77" s="12" t="str">
        <f aca="false">IF(N77="","",N77)</f>
        <v/>
      </c>
      <c r="E77" s="13" t="str">
        <f aca="false">IFERROR(VALUE(TRIM(LEFT(RIGHT(D77,18),11))),"")</f>
        <v/>
      </c>
      <c r="J77" s="13" t="str">
        <f aca="false">IFERROR(VALUE(TRIM(LEFT(RIGHT(I77,18),11))),"")</f>
        <v/>
      </c>
      <c r="N77" s="13" t="str">
        <f aca="false">IFERROR(VALUE(TRIM(LEFT(RIGHT(M77,18),11))),"")</f>
        <v/>
      </c>
    </row>
    <row r="78" customFormat="false" ht="14.25" hidden="false" customHeight="true" outlineLevel="0" collapsed="false">
      <c r="A78" s="12" t="str">
        <f aca="false">IF(E78="","",E78)</f>
        <v/>
      </c>
      <c r="B78" s="12" t="str">
        <f aca="false">IF(J78="","",J78)</f>
        <v/>
      </c>
      <c r="C78" s="12" t="str">
        <f aca="false">IF(N78="","",N78)</f>
        <v/>
      </c>
      <c r="E78" s="13" t="str">
        <f aca="false">IFERROR(VALUE(TRIM(LEFT(RIGHT(D78,18),11))),"")</f>
        <v/>
      </c>
      <c r="J78" s="13" t="str">
        <f aca="false">IFERROR(VALUE(TRIM(LEFT(RIGHT(I78,18),11))),"")</f>
        <v/>
      </c>
      <c r="N78" s="13" t="str">
        <f aca="false">IFERROR(VALUE(TRIM(LEFT(RIGHT(M78,18),11))),"")</f>
        <v/>
      </c>
    </row>
    <row r="79" customFormat="false" ht="14.25" hidden="false" customHeight="true" outlineLevel="0" collapsed="false">
      <c r="A79" s="12" t="str">
        <f aca="false">IF(E79="","",E79)</f>
        <v/>
      </c>
      <c r="B79" s="12" t="str">
        <f aca="false">IF(J79="","",J79)</f>
        <v/>
      </c>
      <c r="C79" s="12" t="str">
        <f aca="false">IF(N79="","",N79)</f>
        <v/>
      </c>
      <c r="E79" s="13" t="str">
        <f aca="false">IFERROR(VALUE(TRIM(LEFT(RIGHT(D79,18),11))),"")</f>
        <v/>
      </c>
      <c r="J79" s="13" t="str">
        <f aca="false">IFERROR(VALUE(TRIM(LEFT(RIGHT(I79,18),11))),"")</f>
        <v/>
      </c>
      <c r="N79" s="13" t="str">
        <f aca="false">IFERROR(VALUE(TRIM(LEFT(RIGHT(M79,18),11))),"")</f>
        <v/>
      </c>
    </row>
    <row r="80" customFormat="false" ht="14.25" hidden="false" customHeight="true" outlineLevel="0" collapsed="false">
      <c r="A80" s="12" t="str">
        <f aca="false">IF(E80="","",E80)</f>
        <v/>
      </c>
      <c r="B80" s="12" t="str">
        <f aca="false">IF(J80="","",J80)</f>
        <v/>
      </c>
      <c r="C80" s="12" t="str">
        <f aca="false">IF(N80="","",N80)</f>
        <v/>
      </c>
      <c r="E80" s="13" t="str">
        <f aca="false">IFERROR(VALUE(TRIM(LEFT(RIGHT(D80,18),11))),"")</f>
        <v/>
      </c>
      <c r="J80" s="13" t="str">
        <f aca="false">IFERROR(VALUE(TRIM(LEFT(RIGHT(I80,18),11))),"")</f>
        <v/>
      </c>
      <c r="N80" s="13" t="str">
        <f aca="false">IFERROR(VALUE(TRIM(LEFT(RIGHT(M80,18),11))),"")</f>
        <v/>
      </c>
    </row>
    <row r="81" customFormat="false" ht="14.25" hidden="false" customHeight="true" outlineLevel="0" collapsed="false">
      <c r="A81" s="12" t="str">
        <f aca="false">IF(E81="","",E81)</f>
        <v/>
      </c>
      <c r="B81" s="12" t="str">
        <f aca="false">IF(J81="","",J81)</f>
        <v/>
      </c>
      <c r="C81" s="12" t="str">
        <f aca="false">IF(N81="","",N81)</f>
        <v/>
      </c>
      <c r="E81" s="13" t="str">
        <f aca="false">IFERROR(VALUE(TRIM(LEFT(RIGHT(D81,18),11))),"")</f>
        <v/>
      </c>
      <c r="J81" s="13" t="str">
        <f aca="false">IFERROR(VALUE(TRIM(LEFT(RIGHT(I81,18),11))),"")</f>
        <v/>
      </c>
      <c r="N81" s="13" t="str">
        <f aca="false">IFERROR(VALUE(TRIM(LEFT(RIGHT(M81,18),11))),"")</f>
        <v/>
      </c>
    </row>
    <row r="82" customFormat="false" ht="14.25" hidden="false" customHeight="true" outlineLevel="0" collapsed="false">
      <c r="A82" s="12" t="str">
        <f aca="false">IF(E82="","",E82)</f>
        <v/>
      </c>
      <c r="B82" s="12" t="str">
        <f aca="false">IF(J82="","",J82)</f>
        <v/>
      </c>
      <c r="C82" s="12" t="str">
        <f aca="false">IF(N82="","",N82)</f>
        <v/>
      </c>
      <c r="E82" s="13" t="str">
        <f aca="false">IFERROR(VALUE(TRIM(LEFT(RIGHT(D82,18),11))),"")</f>
        <v/>
      </c>
      <c r="J82" s="13" t="str">
        <f aca="false">IFERROR(VALUE(TRIM(LEFT(RIGHT(I82,18),11))),"")</f>
        <v/>
      </c>
      <c r="N82" s="13" t="str">
        <f aca="false">IFERROR(VALUE(TRIM(LEFT(RIGHT(M82,18),11))),"")</f>
        <v/>
      </c>
    </row>
    <row r="83" customFormat="false" ht="14.25" hidden="false" customHeight="true" outlineLevel="0" collapsed="false">
      <c r="A83" s="12" t="str">
        <f aca="false">IF(E83="","",E83)</f>
        <v/>
      </c>
      <c r="B83" s="12" t="str">
        <f aca="false">IF(J83="","",J83)</f>
        <v/>
      </c>
      <c r="C83" s="12" t="str">
        <f aca="false">IF(N83="","",N83)</f>
        <v/>
      </c>
      <c r="E83" s="13" t="str">
        <f aca="false">IFERROR(VALUE(TRIM(LEFT(RIGHT(D83,18),11))),"")</f>
        <v/>
      </c>
      <c r="J83" s="13" t="str">
        <f aca="false">IFERROR(VALUE(TRIM(LEFT(RIGHT(I83,18),11))),"")</f>
        <v/>
      </c>
      <c r="N83" s="13" t="str">
        <f aca="false">IFERROR(VALUE(TRIM(LEFT(RIGHT(M83,18),11))),"")</f>
        <v/>
      </c>
    </row>
    <row r="84" customFormat="false" ht="14.25" hidden="false" customHeight="true" outlineLevel="0" collapsed="false">
      <c r="A84" s="12" t="str">
        <f aca="false">IF(E84="","",E84)</f>
        <v/>
      </c>
      <c r="B84" s="12" t="str">
        <f aca="false">IF(J84="","",J84)</f>
        <v/>
      </c>
      <c r="C84" s="12" t="str">
        <f aca="false">IF(N84="","",N84)</f>
        <v/>
      </c>
      <c r="E84" s="13" t="str">
        <f aca="false">IFERROR(VALUE(TRIM(LEFT(RIGHT(D84,18),11))),"")</f>
        <v/>
      </c>
      <c r="J84" s="13" t="str">
        <f aca="false">IFERROR(VALUE(TRIM(LEFT(RIGHT(I84,18),11))),"")</f>
        <v/>
      </c>
      <c r="N84" s="13" t="str">
        <f aca="false">IFERROR(VALUE(TRIM(LEFT(RIGHT(M84,18),11))),"")</f>
        <v/>
      </c>
    </row>
    <row r="85" customFormat="false" ht="14.25" hidden="false" customHeight="true" outlineLevel="0" collapsed="false">
      <c r="A85" s="12" t="str">
        <f aca="false">IF(E85="","",E85)</f>
        <v/>
      </c>
      <c r="B85" s="12" t="str">
        <f aca="false">IF(J85="","",J85)</f>
        <v/>
      </c>
      <c r="C85" s="12" t="str">
        <f aca="false">IF(N85="","",N85)</f>
        <v/>
      </c>
      <c r="E85" s="13" t="str">
        <f aca="false">IFERROR(VALUE(TRIM(LEFT(RIGHT(D85,18),11))),"")</f>
        <v/>
      </c>
      <c r="J85" s="13" t="str">
        <f aca="false">IFERROR(VALUE(TRIM(LEFT(RIGHT(I85,18),11))),"")</f>
        <v/>
      </c>
      <c r="N85" s="13" t="str">
        <f aca="false">IFERROR(VALUE(TRIM(LEFT(RIGHT(M85,18),11))),"")</f>
        <v/>
      </c>
    </row>
    <row r="86" customFormat="false" ht="14.25" hidden="false" customHeight="true" outlineLevel="0" collapsed="false">
      <c r="A86" s="12" t="str">
        <f aca="false">IF(E86="","",E86)</f>
        <v/>
      </c>
      <c r="B86" s="12" t="str">
        <f aca="false">IF(J86="","",J86)</f>
        <v/>
      </c>
      <c r="C86" s="12" t="str">
        <f aca="false">IF(N86="","",N86)</f>
        <v/>
      </c>
      <c r="E86" s="13" t="str">
        <f aca="false">IFERROR(VALUE(TRIM(LEFT(RIGHT(D86,18),11))),"")</f>
        <v/>
      </c>
      <c r="J86" s="13" t="str">
        <f aca="false">IFERROR(VALUE(TRIM(LEFT(RIGHT(I86,18),11))),"")</f>
        <v/>
      </c>
      <c r="N86" s="13" t="str">
        <f aca="false">IFERROR(VALUE(TRIM(LEFT(RIGHT(M86,18),11))),"")</f>
        <v/>
      </c>
    </row>
    <row r="87" customFormat="false" ht="14.25" hidden="false" customHeight="true" outlineLevel="0" collapsed="false">
      <c r="A87" s="12" t="str">
        <f aca="false">IF(E87="","",E87)</f>
        <v/>
      </c>
      <c r="B87" s="12" t="str">
        <f aca="false">IF(J87="","",J87)</f>
        <v/>
      </c>
      <c r="C87" s="12" t="str">
        <f aca="false">IF(N87="","",N87)</f>
        <v/>
      </c>
      <c r="E87" s="13" t="str">
        <f aca="false">IFERROR(VALUE(TRIM(LEFT(RIGHT(D87,18),11))),"")</f>
        <v/>
      </c>
      <c r="J87" s="13" t="str">
        <f aca="false">IFERROR(VALUE(TRIM(LEFT(RIGHT(I87,18),11))),"")</f>
        <v/>
      </c>
      <c r="N87" s="13" t="str">
        <f aca="false">IFERROR(VALUE(TRIM(LEFT(RIGHT(M87,18),11))),"")</f>
        <v/>
      </c>
    </row>
    <row r="88" customFormat="false" ht="14.25" hidden="false" customHeight="true" outlineLevel="0" collapsed="false">
      <c r="A88" s="12" t="str">
        <f aca="false">IF(E88="","",E88)</f>
        <v/>
      </c>
      <c r="B88" s="12" t="str">
        <f aca="false">IF(J88="","",J88)</f>
        <v/>
      </c>
      <c r="C88" s="12" t="str">
        <f aca="false">IF(N88="","",N88)</f>
        <v/>
      </c>
      <c r="E88" s="13" t="str">
        <f aca="false">IFERROR(VALUE(TRIM(LEFT(RIGHT(D88,18),11))),"")</f>
        <v/>
      </c>
      <c r="J88" s="13" t="str">
        <f aca="false">IFERROR(VALUE(TRIM(LEFT(RIGHT(I88,18),11))),"")</f>
        <v/>
      </c>
      <c r="N88" s="13" t="str">
        <f aca="false">IFERROR(VALUE(TRIM(LEFT(RIGHT(M88,18),11))),"")</f>
        <v/>
      </c>
    </row>
    <row r="89" customFormat="false" ht="14.25" hidden="false" customHeight="true" outlineLevel="0" collapsed="false">
      <c r="A89" s="12" t="str">
        <f aca="false">IF(E89="","",E89)</f>
        <v/>
      </c>
      <c r="B89" s="12" t="str">
        <f aca="false">IF(J89="","",J89)</f>
        <v/>
      </c>
      <c r="C89" s="12" t="str">
        <f aca="false">IF(N89="","",N89)</f>
        <v/>
      </c>
      <c r="E89" s="13" t="str">
        <f aca="false">IFERROR(VALUE(TRIM(LEFT(RIGHT(D89,18),11))),"")</f>
        <v/>
      </c>
      <c r="J89" s="13" t="str">
        <f aca="false">IFERROR(VALUE(TRIM(LEFT(RIGHT(I89,18),11))),"")</f>
        <v/>
      </c>
      <c r="N89" s="13" t="str">
        <f aca="false">IFERROR(VALUE(TRIM(LEFT(RIGHT(M89,18),11))),"")</f>
        <v/>
      </c>
    </row>
    <row r="90" customFormat="false" ht="14.25" hidden="false" customHeight="true" outlineLevel="0" collapsed="false">
      <c r="A90" s="12" t="str">
        <f aca="false">IF(E90="","",E90)</f>
        <v/>
      </c>
      <c r="B90" s="12" t="str">
        <f aca="false">IF(J90="","",J90)</f>
        <v/>
      </c>
      <c r="C90" s="12" t="str">
        <f aca="false">IF(N90="","",N90)</f>
        <v/>
      </c>
      <c r="E90" s="13" t="str">
        <f aca="false">IFERROR(VALUE(TRIM(LEFT(RIGHT(D90,18),11))),"")</f>
        <v/>
      </c>
      <c r="J90" s="13" t="str">
        <f aca="false">IFERROR(VALUE(TRIM(LEFT(RIGHT(I90,18),11))),"")</f>
        <v/>
      </c>
      <c r="N90" s="13" t="str">
        <f aca="false">IFERROR(VALUE(TRIM(LEFT(RIGHT(M90,18),11))),"")</f>
        <v/>
      </c>
    </row>
    <row r="91" customFormat="false" ht="14.25" hidden="false" customHeight="true" outlineLevel="0" collapsed="false">
      <c r="A91" s="12" t="str">
        <f aca="false">IF(E91="","",E91)</f>
        <v/>
      </c>
      <c r="B91" s="12" t="str">
        <f aca="false">IF(J91="","",J91)</f>
        <v/>
      </c>
      <c r="C91" s="12" t="str">
        <f aca="false">IF(N91="","",N91)</f>
        <v/>
      </c>
      <c r="E91" s="13" t="str">
        <f aca="false">IFERROR(VALUE(TRIM(LEFT(RIGHT(D91,18),11))),"")</f>
        <v/>
      </c>
      <c r="J91" s="13" t="str">
        <f aca="false">IFERROR(VALUE(TRIM(LEFT(RIGHT(I91,18),11))),"")</f>
        <v/>
      </c>
      <c r="N91" s="13" t="str">
        <f aca="false">IFERROR(VALUE(TRIM(LEFT(RIGHT(M91,18),11))),"")</f>
        <v/>
      </c>
    </row>
    <row r="92" customFormat="false" ht="14.25" hidden="false" customHeight="true" outlineLevel="0" collapsed="false">
      <c r="A92" s="12" t="str">
        <f aca="false">IF(E92="","",E92)</f>
        <v/>
      </c>
      <c r="B92" s="12" t="str">
        <f aca="false">IF(J92="","",J92)</f>
        <v/>
      </c>
      <c r="C92" s="12" t="str">
        <f aca="false">IF(N92="","",N92)</f>
        <v/>
      </c>
      <c r="E92" s="13" t="str">
        <f aca="false">IFERROR(VALUE(TRIM(LEFT(RIGHT(D92,18),11))),"")</f>
        <v/>
      </c>
      <c r="J92" s="13" t="str">
        <f aca="false">IFERROR(VALUE(TRIM(LEFT(RIGHT(I92,18),11))),"")</f>
        <v/>
      </c>
      <c r="N92" s="13" t="str">
        <f aca="false">IFERROR(VALUE(TRIM(LEFT(RIGHT(M92,18),11))),"")</f>
        <v/>
      </c>
    </row>
    <row r="93" customFormat="false" ht="14.25" hidden="false" customHeight="true" outlineLevel="0" collapsed="false">
      <c r="A93" s="12" t="str">
        <f aca="false">IF(E93="","",E93)</f>
        <v/>
      </c>
      <c r="B93" s="12" t="str">
        <f aca="false">IF(J93="","",J93)</f>
        <v/>
      </c>
      <c r="C93" s="12" t="str">
        <f aca="false">IF(N93="","",N93)</f>
        <v/>
      </c>
      <c r="E93" s="13" t="str">
        <f aca="false">IFERROR(VALUE(TRIM(LEFT(RIGHT(D93,18),11))),"")</f>
        <v/>
      </c>
      <c r="J93" s="13" t="str">
        <f aca="false">IFERROR(VALUE(TRIM(LEFT(RIGHT(I93,18),11))),"")</f>
        <v/>
      </c>
      <c r="N93" s="13" t="str">
        <f aca="false">IFERROR(VALUE(TRIM(LEFT(RIGHT(M93,18),11))),"")</f>
        <v/>
      </c>
    </row>
    <row r="94" customFormat="false" ht="14.25" hidden="false" customHeight="true" outlineLevel="0" collapsed="false">
      <c r="A94" s="12" t="str">
        <f aca="false">IF(E94="","",E94)</f>
        <v/>
      </c>
      <c r="B94" s="12" t="str">
        <f aca="false">IF(J94="","",J94)</f>
        <v/>
      </c>
      <c r="C94" s="12" t="str">
        <f aca="false">IF(N94="","",N94)</f>
        <v/>
      </c>
      <c r="E94" s="13" t="str">
        <f aca="false">IFERROR(VALUE(TRIM(LEFT(RIGHT(D94,18),11))),"")</f>
        <v/>
      </c>
      <c r="J94" s="13" t="str">
        <f aca="false">IFERROR(VALUE(TRIM(LEFT(RIGHT(I94,18),11))),"")</f>
        <v/>
      </c>
      <c r="N94" s="13" t="str">
        <f aca="false">IFERROR(VALUE(TRIM(LEFT(RIGHT(M94,18),11))),"")</f>
        <v/>
      </c>
    </row>
    <row r="95" customFormat="false" ht="14.25" hidden="false" customHeight="true" outlineLevel="0" collapsed="false">
      <c r="A95" s="12" t="str">
        <f aca="false">IF(E95="","",E95)</f>
        <v/>
      </c>
      <c r="B95" s="12" t="str">
        <f aca="false">IF(J95="","",J95)</f>
        <v/>
      </c>
      <c r="C95" s="12" t="str">
        <f aca="false">IF(N95="","",N95)</f>
        <v/>
      </c>
      <c r="E95" s="13" t="str">
        <f aca="false">IFERROR(VALUE(TRIM(LEFT(RIGHT(D95,18),11))),"")</f>
        <v/>
      </c>
      <c r="J95" s="13" t="str">
        <f aca="false">IFERROR(VALUE(TRIM(LEFT(RIGHT(I95,18),11))),"")</f>
        <v/>
      </c>
      <c r="N95" s="13" t="str">
        <f aca="false">IFERROR(VALUE(TRIM(LEFT(RIGHT(M95,18),11))),"")</f>
        <v/>
      </c>
    </row>
    <row r="96" customFormat="false" ht="14.25" hidden="false" customHeight="true" outlineLevel="0" collapsed="false">
      <c r="A96" s="12" t="str">
        <f aca="false">IF(E96="","",E96)</f>
        <v/>
      </c>
      <c r="B96" s="12" t="str">
        <f aca="false">IF(J96="","",J96)</f>
        <v/>
      </c>
      <c r="C96" s="12" t="str">
        <f aca="false">IF(N96="","",N96)</f>
        <v/>
      </c>
      <c r="E96" s="13" t="str">
        <f aca="false">IFERROR(VALUE(TRIM(LEFT(RIGHT(D96,18),11))),"")</f>
        <v/>
      </c>
      <c r="J96" s="13" t="str">
        <f aca="false">IFERROR(VALUE(TRIM(LEFT(RIGHT(I96,18),11))),"")</f>
        <v/>
      </c>
      <c r="N96" s="13" t="str">
        <f aca="false">IFERROR(VALUE(TRIM(LEFT(RIGHT(M96,18),11))),"")</f>
        <v/>
      </c>
    </row>
    <row r="97" customFormat="false" ht="14.25" hidden="false" customHeight="true" outlineLevel="0" collapsed="false">
      <c r="A97" s="12" t="str">
        <f aca="false">IF(E97="","",E97)</f>
        <v/>
      </c>
      <c r="B97" s="12" t="str">
        <f aca="false">IF(J97="","",J97)</f>
        <v/>
      </c>
      <c r="C97" s="12" t="str">
        <f aca="false">IF(N97="","",N97)</f>
        <v/>
      </c>
      <c r="E97" s="13" t="str">
        <f aca="false">IFERROR(VALUE(TRIM(LEFT(RIGHT(D97,18),11))),"")</f>
        <v/>
      </c>
      <c r="J97" s="13" t="str">
        <f aca="false">IFERROR(VALUE(TRIM(LEFT(RIGHT(I97,18),11))),"")</f>
        <v/>
      </c>
      <c r="N97" s="13" t="str">
        <f aca="false">IFERROR(VALUE(TRIM(LEFT(RIGHT(M97,18),11))),"")</f>
        <v/>
      </c>
    </row>
    <row r="98" customFormat="false" ht="14.25" hidden="false" customHeight="true" outlineLevel="0" collapsed="false">
      <c r="A98" s="12" t="str">
        <f aca="false">IF(E98="","",E98)</f>
        <v/>
      </c>
      <c r="B98" s="12" t="str">
        <f aca="false">IF(J98="","",J98)</f>
        <v/>
      </c>
      <c r="C98" s="12" t="str">
        <f aca="false">IF(N98="","",N98)</f>
        <v/>
      </c>
      <c r="E98" s="13" t="str">
        <f aca="false">IFERROR(VALUE(TRIM(LEFT(RIGHT(D98,18),11))),"")</f>
        <v/>
      </c>
      <c r="J98" s="13" t="str">
        <f aca="false">IFERROR(VALUE(TRIM(LEFT(RIGHT(I98,18),11))),"")</f>
        <v/>
      </c>
      <c r="N98" s="13" t="str">
        <f aca="false">IFERROR(VALUE(TRIM(LEFT(RIGHT(M98,18),11))),"")</f>
        <v/>
      </c>
    </row>
    <row r="99" customFormat="false" ht="14.25" hidden="false" customHeight="true" outlineLevel="0" collapsed="false">
      <c r="A99" s="12" t="str">
        <f aca="false">IF(E99="","",E99)</f>
        <v/>
      </c>
      <c r="B99" s="12" t="str">
        <f aca="false">IF(J99="","",J99)</f>
        <v/>
      </c>
      <c r="C99" s="12" t="str">
        <f aca="false">IF(N99="","",N99)</f>
        <v/>
      </c>
      <c r="E99" s="13" t="str">
        <f aca="false">IFERROR(VALUE(TRIM(LEFT(RIGHT(D99,18),11))),"")</f>
        <v/>
      </c>
      <c r="J99" s="13" t="str">
        <f aca="false">IFERROR(VALUE(TRIM(LEFT(RIGHT(I99,18),11))),"")</f>
        <v/>
      </c>
      <c r="N99" s="13" t="str">
        <f aca="false">IFERROR(VALUE(TRIM(LEFT(RIGHT(M99,18),11))),"")</f>
        <v/>
      </c>
    </row>
    <row r="100" customFormat="false" ht="14.25" hidden="false" customHeight="true" outlineLevel="0" collapsed="false">
      <c r="A100" s="12" t="str">
        <f aca="false">IF(E100="","",E100)</f>
        <v/>
      </c>
      <c r="B100" s="12" t="str">
        <f aca="false">IF(J100="","",J100)</f>
        <v/>
      </c>
      <c r="C100" s="12" t="str">
        <f aca="false">IF(N100="","",N100)</f>
        <v/>
      </c>
      <c r="E100" s="13" t="str">
        <f aca="false">IFERROR(VALUE(TRIM(LEFT(RIGHT(D100,18),11))),"")</f>
        <v/>
      </c>
      <c r="J100" s="13" t="str">
        <f aca="false">IFERROR(VALUE(TRIM(LEFT(RIGHT(I100,18),11))),"")</f>
        <v/>
      </c>
      <c r="N100" s="13" t="str">
        <f aca="false">IFERROR(VALUE(TRIM(LEFT(RIGHT(M100,18),11))),"")</f>
        <v/>
      </c>
    </row>
    <row r="101" customFormat="false" ht="14.25" hidden="false" customHeight="true" outlineLevel="0" collapsed="false">
      <c r="A101" s="12" t="str">
        <f aca="false">IF(E101="","",E101)</f>
        <v/>
      </c>
      <c r="B101" s="12" t="str">
        <f aca="false">IF(J101="","",J101)</f>
        <v/>
      </c>
      <c r="C101" s="12" t="str">
        <f aca="false">IF(N101="","",N101)</f>
        <v/>
      </c>
      <c r="E101" s="13" t="str">
        <f aca="false">IFERROR(VALUE(TRIM(LEFT(RIGHT(D101,18),11))),"")</f>
        <v/>
      </c>
      <c r="J101" s="13" t="str">
        <f aca="false">IFERROR(VALUE(TRIM(LEFT(RIGHT(I101,18),11))),"")</f>
        <v/>
      </c>
      <c r="N101" s="13" t="str">
        <f aca="false">IFERROR(VALUE(TRIM(LEFT(RIGHT(M101,18),11))),"")</f>
        <v/>
      </c>
    </row>
    <row r="102" customFormat="false" ht="14.25" hidden="false" customHeight="true" outlineLevel="0" collapsed="false">
      <c r="A102" s="12" t="str">
        <f aca="false">IF(E102="","",E102)</f>
        <v/>
      </c>
      <c r="B102" s="12" t="str">
        <f aca="false">IF(J102="","",J102)</f>
        <v/>
      </c>
      <c r="C102" s="12" t="str">
        <f aca="false">IF(N102="","",N102)</f>
        <v/>
      </c>
      <c r="E102" s="13" t="str">
        <f aca="false">IFERROR(VALUE(TRIM(LEFT(RIGHT(D102,18),11))),"")</f>
        <v/>
      </c>
      <c r="J102" s="13" t="str">
        <f aca="false">IFERROR(VALUE(TRIM(LEFT(RIGHT(I102,18),11))),"")</f>
        <v/>
      </c>
      <c r="N102" s="13" t="str">
        <f aca="false">IFERROR(VALUE(TRIM(LEFT(RIGHT(M102,18),11))),"")</f>
        <v/>
      </c>
    </row>
    <row r="103" customFormat="false" ht="14.25" hidden="false" customHeight="true" outlineLevel="0" collapsed="false">
      <c r="A103" s="12" t="str">
        <f aca="false">IF(E103="","",E103)</f>
        <v/>
      </c>
      <c r="B103" s="12" t="str">
        <f aca="false">IF(J103="","",J103)</f>
        <v/>
      </c>
      <c r="C103" s="12" t="str">
        <f aca="false">IF(N103="","",N103)</f>
        <v/>
      </c>
      <c r="E103" s="13" t="str">
        <f aca="false">IFERROR(VALUE(TRIM(LEFT(RIGHT(D103,18),11))),"")</f>
        <v/>
      </c>
      <c r="J103" s="13" t="str">
        <f aca="false">IFERROR(VALUE(TRIM(LEFT(RIGHT(I103,18),11))),"")</f>
        <v/>
      </c>
      <c r="N103" s="13" t="str">
        <f aca="false">IFERROR(VALUE(TRIM(LEFT(RIGHT(M103,18),11))),"")</f>
        <v/>
      </c>
    </row>
    <row r="104" customFormat="false" ht="14.25" hidden="false" customHeight="true" outlineLevel="0" collapsed="false">
      <c r="A104" s="12" t="str">
        <f aca="false">IF(E104="","",E104)</f>
        <v/>
      </c>
      <c r="B104" s="12" t="str">
        <f aca="false">IF(J104="","",J104)</f>
        <v/>
      </c>
      <c r="C104" s="12" t="str">
        <f aca="false">IF(N104="","",N104)</f>
        <v/>
      </c>
      <c r="E104" s="13" t="str">
        <f aca="false">IFERROR(VALUE(TRIM(LEFT(RIGHT(D104,18),11))),"")</f>
        <v/>
      </c>
      <c r="J104" s="13" t="str">
        <f aca="false">IFERROR(VALUE(TRIM(LEFT(RIGHT(I104,18),11))),"")</f>
        <v/>
      </c>
      <c r="N104" s="13" t="str">
        <f aca="false">IFERROR(VALUE(TRIM(LEFT(RIGHT(M104,18),11))),"")</f>
        <v/>
      </c>
    </row>
    <row r="105" customFormat="false" ht="14.25" hidden="false" customHeight="true" outlineLevel="0" collapsed="false">
      <c r="A105" s="12" t="str">
        <f aca="false">IF(E105="","",E105)</f>
        <v/>
      </c>
      <c r="B105" s="12" t="str">
        <f aca="false">IF(J105="","",J105)</f>
        <v/>
      </c>
      <c r="C105" s="12" t="str">
        <f aca="false">IF(N105="","",N105)</f>
        <v/>
      </c>
      <c r="E105" s="13" t="str">
        <f aca="false">IFERROR(VALUE(TRIM(LEFT(RIGHT(D105,18),11))),"")</f>
        <v/>
      </c>
      <c r="J105" s="13" t="str">
        <f aca="false">IFERROR(VALUE(TRIM(LEFT(RIGHT(I105,18),11))),"")</f>
        <v/>
      </c>
      <c r="N105" s="13" t="str">
        <f aca="false">IFERROR(VALUE(TRIM(LEFT(RIGHT(M105,18),11))),"")</f>
        <v/>
      </c>
    </row>
    <row r="106" customFormat="false" ht="14.25" hidden="false" customHeight="true" outlineLevel="0" collapsed="false">
      <c r="A106" s="12" t="str">
        <f aca="false">IF(E106="","",E106)</f>
        <v/>
      </c>
      <c r="B106" s="12" t="str">
        <f aca="false">IF(J106="","",J106)</f>
        <v/>
      </c>
      <c r="C106" s="12" t="str">
        <f aca="false">IF(N106="","",N106)</f>
        <v/>
      </c>
      <c r="E106" s="13" t="str">
        <f aca="false">IFERROR(VALUE(TRIM(LEFT(RIGHT(D106,18),11))),"")</f>
        <v/>
      </c>
      <c r="J106" s="13" t="str">
        <f aca="false">IFERROR(VALUE(TRIM(LEFT(RIGHT(I106,18),11))),"")</f>
        <v/>
      </c>
      <c r="N106" s="13" t="str">
        <f aca="false">IFERROR(VALUE(TRIM(LEFT(RIGHT(M106,18),11))),"")</f>
        <v/>
      </c>
    </row>
    <row r="107" customFormat="false" ht="14.25" hidden="false" customHeight="true" outlineLevel="0" collapsed="false">
      <c r="A107" s="12" t="str">
        <f aca="false">IF(E107="","",E107)</f>
        <v/>
      </c>
      <c r="B107" s="12" t="str">
        <f aca="false">IF(J107="","",J107)</f>
        <v/>
      </c>
      <c r="C107" s="12" t="str">
        <f aca="false">IF(N107="","",N107)</f>
        <v/>
      </c>
      <c r="E107" s="13" t="str">
        <f aca="false">IFERROR(VALUE(TRIM(LEFT(RIGHT(D107,18),11))),"")</f>
        <v/>
      </c>
      <c r="J107" s="13" t="str">
        <f aca="false">IFERROR(VALUE(TRIM(LEFT(RIGHT(I107,18),11))),"")</f>
        <v/>
      </c>
      <c r="N107" s="13" t="str">
        <f aca="false">IFERROR(VALUE(TRIM(LEFT(RIGHT(M107,18),11))),"")</f>
        <v/>
      </c>
    </row>
    <row r="108" customFormat="false" ht="14.25" hidden="false" customHeight="true" outlineLevel="0" collapsed="false">
      <c r="A108" s="12" t="str">
        <f aca="false">IF(E108="","",E108)</f>
        <v/>
      </c>
      <c r="B108" s="12" t="str">
        <f aca="false">IF(J108="","",J108)</f>
        <v/>
      </c>
      <c r="C108" s="12" t="str">
        <f aca="false">IF(N108="","",N108)</f>
        <v/>
      </c>
      <c r="E108" s="13" t="str">
        <f aca="false">IFERROR(VALUE(TRIM(LEFT(RIGHT(D108,18),11))),"")</f>
        <v/>
      </c>
      <c r="J108" s="13" t="str">
        <f aca="false">IFERROR(VALUE(TRIM(LEFT(RIGHT(I108,18),11))),"")</f>
        <v/>
      </c>
      <c r="N108" s="13" t="str">
        <f aca="false">IFERROR(VALUE(TRIM(LEFT(RIGHT(M108,18),11))),"")</f>
        <v/>
      </c>
    </row>
    <row r="109" customFormat="false" ht="14.25" hidden="false" customHeight="true" outlineLevel="0" collapsed="false">
      <c r="A109" s="12" t="str">
        <f aca="false">IF(E109="","",E109)</f>
        <v/>
      </c>
      <c r="B109" s="12" t="str">
        <f aca="false">IF(J109="","",J109)</f>
        <v/>
      </c>
      <c r="C109" s="12" t="str">
        <f aca="false">IF(N109="","",N109)</f>
        <v/>
      </c>
      <c r="E109" s="13" t="str">
        <f aca="false">IFERROR(VALUE(TRIM(LEFT(RIGHT(D109,18),11))),"")</f>
        <v/>
      </c>
      <c r="J109" s="13" t="str">
        <f aca="false">IFERROR(VALUE(TRIM(LEFT(RIGHT(I109,18),11))),"")</f>
        <v/>
      </c>
      <c r="N109" s="13" t="str">
        <f aca="false">IFERROR(VALUE(TRIM(LEFT(RIGHT(M109,18),11))),"")</f>
        <v/>
      </c>
    </row>
    <row r="110" customFormat="false" ht="14.25" hidden="false" customHeight="true" outlineLevel="0" collapsed="false">
      <c r="A110" s="12" t="str">
        <f aca="false">IF(E110="","",E110)</f>
        <v/>
      </c>
      <c r="B110" s="12" t="str">
        <f aca="false">IF(J110="","",J110)</f>
        <v/>
      </c>
      <c r="C110" s="12" t="str">
        <f aca="false">IF(N110="","",N110)</f>
        <v/>
      </c>
      <c r="E110" s="13" t="str">
        <f aca="false">IFERROR(VALUE(TRIM(LEFT(RIGHT(D110,18),11))),"")</f>
        <v/>
      </c>
      <c r="J110" s="13" t="str">
        <f aca="false">IFERROR(VALUE(TRIM(LEFT(RIGHT(I110,18),11))),"")</f>
        <v/>
      </c>
      <c r="N110" s="13" t="str">
        <f aca="false">IFERROR(VALUE(TRIM(LEFT(RIGHT(M110,18),11))),"")</f>
        <v/>
      </c>
    </row>
    <row r="111" customFormat="false" ht="14.25" hidden="false" customHeight="true" outlineLevel="0" collapsed="false">
      <c r="A111" s="12" t="str">
        <f aca="false">IF(E111="","",E111)</f>
        <v/>
      </c>
      <c r="B111" s="12" t="str">
        <f aca="false">IF(J111="","",J111)</f>
        <v/>
      </c>
      <c r="C111" s="12" t="str">
        <f aca="false">IF(N111="","",N111)</f>
        <v/>
      </c>
      <c r="E111" s="13" t="str">
        <f aca="false">IFERROR(VALUE(TRIM(LEFT(RIGHT(D111,18),11))),"")</f>
        <v/>
      </c>
      <c r="J111" s="13" t="str">
        <f aca="false">IFERROR(VALUE(TRIM(LEFT(RIGHT(I111,18),11))),"")</f>
        <v/>
      </c>
      <c r="N111" s="13" t="str">
        <f aca="false">IFERROR(VALUE(TRIM(LEFT(RIGHT(M111,18),11))),"")</f>
        <v/>
      </c>
    </row>
    <row r="112" customFormat="false" ht="14.25" hidden="false" customHeight="true" outlineLevel="0" collapsed="false">
      <c r="A112" s="12" t="str">
        <f aca="false">IF(E112="","",E112)</f>
        <v/>
      </c>
      <c r="B112" s="12" t="str">
        <f aca="false">IF(J112="","",J112)</f>
        <v/>
      </c>
      <c r="C112" s="12" t="str">
        <f aca="false">IF(N112="","",N112)</f>
        <v/>
      </c>
      <c r="E112" s="13" t="str">
        <f aca="false">IFERROR(VALUE(TRIM(LEFT(RIGHT(D112,18),11))),"")</f>
        <v/>
      </c>
      <c r="J112" s="13" t="str">
        <f aca="false">IFERROR(VALUE(TRIM(LEFT(RIGHT(I112,18),11))),"")</f>
        <v/>
      </c>
      <c r="N112" s="13" t="str">
        <f aca="false">IFERROR(VALUE(TRIM(LEFT(RIGHT(M112,18),11))),"")</f>
        <v/>
      </c>
    </row>
    <row r="113" customFormat="false" ht="14.25" hidden="false" customHeight="true" outlineLevel="0" collapsed="false">
      <c r="A113" s="12" t="str">
        <f aca="false">IF(E113="","",E113)</f>
        <v/>
      </c>
      <c r="B113" s="12" t="str">
        <f aca="false">IF(J113="","",J113)</f>
        <v/>
      </c>
      <c r="C113" s="12" t="str">
        <f aca="false">IF(N113="","",N113)</f>
        <v/>
      </c>
      <c r="E113" s="13" t="str">
        <f aca="false">IFERROR(VALUE(TRIM(LEFT(RIGHT(D113,18),11))),"")</f>
        <v/>
      </c>
      <c r="J113" s="13" t="str">
        <f aca="false">IFERROR(VALUE(TRIM(LEFT(RIGHT(I113,18),11))),"")</f>
        <v/>
      </c>
      <c r="N113" s="13" t="str">
        <f aca="false">IFERROR(VALUE(TRIM(LEFT(RIGHT(M113,18),11))),"")</f>
        <v/>
      </c>
    </row>
    <row r="114" customFormat="false" ht="14.25" hidden="false" customHeight="true" outlineLevel="0" collapsed="false">
      <c r="A114" s="12" t="str">
        <f aca="false">IF(E114="","",E114)</f>
        <v/>
      </c>
      <c r="B114" s="12" t="str">
        <f aca="false">IF(J114="","",J114)</f>
        <v/>
      </c>
      <c r="C114" s="12" t="str">
        <f aca="false">IF(N114="","",N114)</f>
        <v/>
      </c>
      <c r="E114" s="13" t="str">
        <f aca="false">IFERROR(VALUE(TRIM(LEFT(RIGHT(D114,18),11))),"")</f>
        <v/>
      </c>
      <c r="J114" s="13" t="str">
        <f aca="false">IFERROR(VALUE(TRIM(LEFT(RIGHT(I114,18),11))),"")</f>
        <v/>
      </c>
      <c r="N114" s="13" t="str">
        <f aca="false">IFERROR(VALUE(TRIM(LEFT(RIGHT(M114,18),11))),"")</f>
        <v/>
      </c>
    </row>
    <row r="115" customFormat="false" ht="14.25" hidden="false" customHeight="true" outlineLevel="0" collapsed="false">
      <c r="A115" s="12" t="str">
        <f aca="false">IF(E115="","",E115)</f>
        <v/>
      </c>
      <c r="B115" s="12" t="str">
        <f aca="false">IF(J115="","",J115)</f>
        <v/>
      </c>
      <c r="C115" s="12" t="str">
        <f aca="false">IF(N115="","",N115)</f>
        <v/>
      </c>
      <c r="E115" s="13" t="str">
        <f aca="false">IFERROR(VALUE(TRIM(LEFT(RIGHT(D115,18),11))),"")</f>
        <v/>
      </c>
      <c r="J115" s="13" t="str">
        <f aca="false">IFERROR(VALUE(TRIM(LEFT(RIGHT(I115,18),11))),"")</f>
        <v/>
      </c>
      <c r="N115" s="13" t="str">
        <f aca="false">IFERROR(VALUE(TRIM(LEFT(RIGHT(M115,18),11))),"")</f>
        <v/>
      </c>
    </row>
    <row r="116" customFormat="false" ht="14.25" hidden="false" customHeight="true" outlineLevel="0" collapsed="false">
      <c r="A116" s="12" t="str">
        <f aca="false">IF(E116="","",E116)</f>
        <v/>
      </c>
      <c r="B116" s="12" t="str">
        <f aca="false">IF(J116="","",J116)</f>
        <v/>
      </c>
      <c r="C116" s="12" t="str">
        <f aca="false">IF(N116="","",N116)</f>
        <v/>
      </c>
      <c r="E116" s="13" t="str">
        <f aca="false">IFERROR(VALUE(TRIM(LEFT(RIGHT(D116,18),11))),"")</f>
        <v/>
      </c>
      <c r="J116" s="13" t="str">
        <f aca="false">IFERROR(VALUE(TRIM(LEFT(RIGHT(I116,18),11))),"")</f>
        <v/>
      </c>
      <c r="N116" s="13" t="str">
        <f aca="false">IFERROR(VALUE(TRIM(LEFT(RIGHT(M116,18),11))),"")</f>
        <v/>
      </c>
    </row>
    <row r="117" customFormat="false" ht="14.25" hidden="false" customHeight="true" outlineLevel="0" collapsed="false">
      <c r="A117" s="12" t="str">
        <f aca="false">IF(E117="","",E117)</f>
        <v/>
      </c>
      <c r="B117" s="12" t="str">
        <f aca="false">IF(J117="","",J117)</f>
        <v/>
      </c>
      <c r="C117" s="12" t="str">
        <f aca="false">IF(N117="","",N117)</f>
        <v/>
      </c>
      <c r="E117" s="13" t="str">
        <f aca="false">IFERROR(VALUE(TRIM(LEFT(RIGHT(D117,18),11))),"")</f>
        <v/>
      </c>
      <c r="J117" s="13" t="str">
        <f aca="false">IFERROR(VALUE(TRIM(LEFT(RIGHT(I117,18),11))),"")</f>
        <v/>
      </c>
      <c r="N117" s="13" t="str">
        <f aca="false">IFERROR(VALUE(TRIM(LEFT(RIGHT(M117,18),11))),"")</f>
        <v/>
      </c>
    </row>
    <row r="118" customFormat="false" ht="14.25" hidden="false" customHeight="true" outlineLevel="0" collapsed="false">
      <c r="A118" s="12" t="str">
        <f aca="false">IF(E118="","",E118)</f>
        <v/>
      </c>
      <c r="B118" s="12" t="str">
        <f aca="false">IF(J118="","",J118)</f>
        <v/>
      </c>
      <c r="C118" s="12" t="str">
        <f aca="false">IF(N118="","",N118)</f>
        <v/>
      </c>
      <c r="E118" s="13" t="str">
        <f aca="false">IFERROR(VALUE(TRIM(LEFT(RIGHT(D118,18),11))),"")</f>
        <v/>
      </c>
      <c r="J118" s="13" t="str">
        <f aca="false">IFERROR(VALUE(TRIM(LEFT(RIGHT(I118,18),11))),"")</f>
        <v/>
      </c>
      <c r="N118" s="13" t="str">
        <f aca="false">IFERROR(VALUE(TRIM(LEFT(RIGHT(M118,18),11))),"")</f>
        <v/>
      </c>
    </row>
    <row r="119" customFormat="false" ht="14.25" hidden="false" customHeight="true" outlineLevel="0" collapsed="false">
      <c r="A119" s="12" t="str">
        <f aca="false">IF(E119="","",E119)</f>
        <v/>
      </c>
      <c r="B119" s="12" t="str">
        <f aca="false">IF(J119="","",J119)</f>
        <v/>
      </c>
      <c r="C119" s="12" t="str">
        <f aca="false">IF(N119="","",N119)</f>
        <v/>
      </c>
      <c r="E119" s="13" t="str">
        <f aca="false">IFERROR(VALUE(TRIM(LEFT(RIGHT(D119,18),11))),"")</f>
        <v/>
      </c>
      <c r="J119" s="13" t="str">
        <f aca="false">IFERROR(VALUE(TRIM(LEFT(RIGHT(I119,18),11))),"")</f>
        <v/>
      </c>
      <c r="N119" s="13" t="str">
        <f aca="false">IFERROR(VALUE(TRIM(LEFT(RIGHT(M119,18),11))),"")</f>
        <v/>
      </c>
    </row>
    <row r="120" customFormat="false" ht="14.25" hidden="false" customHeight="true" outlineLevel="0" collapsed="false">
      <c r="A120" s="12" t="str">
        <f aca="false">IF(E120="","",E120)</f>
        <v/>
      </c>
      <c r="B120" s="12" t="str">
        <f aca="false">IF(J120="","",J120)</f>
        <v/>
      </c>
      <c r="C120" s="12" t="str">
        <f aca="false">IF(N120="","",N120)</f>
        <v/>
      </c>
      <c r="E120" s="13" t="str">
        <f aca="false">IFERROR(VALUE(TRIM(LEFT(RIGHT(D120,18),11))),"")</f>
        <v/>
      </c>
      <c r="J120" s="13" t="str">
        <f aca="false">IFERROR(VALUE(TRIM(LEFT(RIGHT(I120,18),11))),"")</f>
        <v/>
      </c>
      <c r="N120" s="13" t="str">
        <f aca="false">IFERROR(VALUE(TRIM(LEFT(RIGHT(M120,18),11))),"")</f>
        <v/>
      </c>
    </row>
    <row r="121" customFormat="false" ht="14.25" hidden="false" customHeight="true" outlineLevel="0" collapsed="false">
      <c r="A121" s="12" t="str">
        <f aca="false">IF(E121="","",E121)</f>
        <v/>
      </c>
      <c r="B121" s="12" t="str">
        <f aca="false">IF(J121="","",J121)</f>
        <v/>
      </c>
      <c r="C121" s="12" t="str">
        <f aca="false">IF(N121="","",N121)</f>
        <v/>
      </c>
      <c r="E121" s="13" t="str">
        <f aca="false">IFERROR(VALUE(TRIM(LEFT(RIGHT(D121,18),11))),"")</f>
        <v/>
      </c>
      <c r="J121" s="13" t="str">
        <f aca="false">IFERROR(VALUE(TRIM(LEFT(RIGHT(I121,18),11))),"")</f>
        <v/>
      </c>
      <c r="N121" s="13" t="str">
        <f aca="false">IFERROR(VALUE(TRIM(LEFT(RIGHT(M121,18),11))),"")</f>
        <v/>
      </c>
    </row>
    <row r="122" customFormat="false" ht="14.25" hidden="false" customHeight="true" outlineLevel="0" collapsed="false">
      <c r="A122" s="12" t="str">
        <f aca="false">IF(E122="","",E122)</f>
        <v/>
      </c>
      <c r="B122" s="12" t="str">
        <f aca="false">IF(J122="","",J122)</f>
        <v/>
      </c>
      <c r="C122" s="12" t="str">
        <f aca="false">IF(N122="","",N122)</f>
        <v/>
      </c>
      <c r="E122" s="13" t="str">
        <f aca="false">IFERROR(VALUE(TRIM(LEFT(RIGHT(D122,18),11))),"")</f>
        <v/>
      </c>
      <c r="J122" s="13" t="str">
        <f aca="false">IFERROR(VALUE(TRIM(LEFT(RIGHT(I122,18),11))),"")</f>
        <v/>
      </c>
      <c r="N122" s="13" t="str">
        <f aca="false">IFERROR(VALUE(TRIM(LEFT(RIGHT(M122,18),11))),"")</f>
        <v/>
      </c>
    </row>
    <row r="123" customFormat="false" ht="14.25" hidden="false" customHeight="true" outlineLevel="0" collapsed="false">
      <c r="A123" s="12" t="str">
        <f aca="false">IF(E123="","",E123)</f>
        <v/>
      </c>
      <c r="B123" s="12" t="str">
        <f aca="false">IF(J123="","",J123)</f>
        <v/>
      </c>
      <c r="C123" s="12" t="str">
        <f aca="false">IF(N123="","",N123)</f>
        <v/>
      </c>
      <c r="E123" s="13" t="str">
        <f aca="false">IFERROR(VALUE(TRIM(LEFT(RIGHT(D123,18),11))),"")</f>
        <v/>
      </c>
      <c r="J123" s="13" t="str">
        <f aca="false">IFERROR(VALUE(TRIM(LEFT(RIGHT(I123,18),11))),"")</f>
        <v/>
      </c>
      <c r="N123" s="13" t="str">
        <f aca="false">IFERROR(VALUE(TRIM(LEFT(RIGHT(M123,18),11))),"")</f>
        <v/>
      </c>
    </row>
    <row r="124" customFormat="false" ht="14.25" hidden="false" customHeight="true" outlineLevel="0" collapsed="false">
      <c r="A124" s="12" t="str">
        <f aca="false">IF(E124="","",E124)</f>
        <v/>
      </c>
      <c r="B124" s="12" t="str">
        <f aca="false">IF(J124="","",J124)</f>
        <v/>
      </c>
      <c r="C124" s="12" t="str">
        <f aca="false">IF(N124="","",N124)</f>
        <v/>
      </c>
      <c r="E124" s="13" t="str">
        <f aca="false">IFERROR(VALUE(TRIM(LEFT(RIGHT(D124,18),11))),"")</f>
        <v/>
      </c>
      <c r="J124" s="13" t="str">
        <f aca="false">IFERROR(VALUE(TRIM(LEFT(RIGHT(I124,18),11))),"")</f>
        <v/>
      </c>
      <c r="N124" s="13" t="str">
        <f aca="false">IFERROR(VALUE(TRIM(LEFT(RIGHT(M124,18),11))),"")</f>
        <v/>
      </c>
    </row>
    <row r="125" customFormat="false" ht="14.25" hidden="false" customHeight="true" outlineLevel="0" collapsed="false">
      <c r="A125" s="12" t="str">
        <f aca="false">IF(E125="","",E125)</f>
        <v/>
      </c>
      <c r="B125" s="12" t="str">
        <f aca="false">IF(J125="","",J125)</f>
        <v/>
      </c>
      <c r="C125" s="12" t="str">
        <f aca="false">IF(N125="","",N125)</f>
        <v/>
      </c>
      <c r="E125" s="13" t="str">
        <f aca="false">IFERROR(VALUE(TRIM(LEFT(RIGHT(D125,18),11))),"")</f>
        <v/>
      </c>
      <c r="J125" s="13" t="str">
        <f aca="false">IFERROR(VALUE(TRIM(LEFT(RIGHT(I125,18),11))),"")</f>
        <v/>
      </c>
      <c r="N125" s="13" t="str">
        <f aca="false">IFERROR(VALUE(TRIM(LEFT(RIGHT(M125,18),11))),"")</f>
        <v/>
      </c>
    </row>
    <row r="126" customFormat="false" ht="14.25" hidden="false" customHeight="true" outlineLevel="0" collapsed="false">
      <c r="A126" s="12" t="str">
        <f aca="false">IF(E126="","",E126)</f>
        <v/>
      </c>
      <c r="B126" s="12" t="str">
        <f aca="false">IF(J126="","",J126)</f>
        <v/>
      </c>
      <c r="C126" s="12" t="str">
        <f aca="false">IF(N126="","",N126)</f>
        <v/>
      </c>
      <c r="E126" s="13" t="str">
        <f aca="false">IFERROR(VALUE(TRIM(LEFT(RIGHT(D126,18),11))),"")</f>
        <v/>
      </c>
      <c r="J126" s="13" t="str">
        <f aca="false">IFERROR(VALUE(TRIM(LEFT(RIGHT(I126,18),11))),"")</f>
        <v/>
      </c>
      <c r="N126" s="13" t="str">
        <f aca="false">IFERROR(VALUE(TRIM(LEFT(RIGHT(M126,18),11))),"")</f>
        <v/>
      </c>
    </row>
    <row r="127" customFormat="false" ht="14.25" hidden="false" customHeight="true" outlineLevel="0" collapsed="false">
      <c r="A127" s="12" t="str">
        <f aca="false">IF(E127="","",E127)</f>
        <v/>
      </c>
      <c r="B127" s="12" t="str">
        <f aca="false">IF(J127="","",J127)</f>
        <v/>
      </c>
      <c r="C127" s="12" t="str">
        <f aca="false">IF(N127="","",N127)</f>
        <v/>
      </c>
      <c r="E127" s="13" t="str">
        <f aca="false">IFERROR(VALUE(TRIM(LEFT(RIGHT(D127,18),11))),"")</f>
        <v/>
      </c>
      <c r="J127" s="13" t="str">
        <f aca="false">IFERROR(VALUE(TRIM(LEFT(RIGHT(I127,18),11))),"")</f>
        <v/>
      </c>
      <c r="N127" s="13" t="str">
        <f aca="false">IFERROR(VALUE(TRIM(LEFT(RIGHT(M127,18),11))),"")</f>
        <v/>
      </c>
    </row>
    <row r="128" customFormat="false" ht="14.25" hidden="false" customHeight="true" outlineLevel="0" collapsed="false">
      <c r="A128" s="12" t="str">
        <f aca="false">IF(E128="","",E128)</f>
        <v/>
      </c>
      <c r="B128" s="12" t="str">
        <f aca="false">IF(J128="","",J128)</f>
        <v/>
      </c>
      <c r="C128" s="12" t="str">
        <f aca="false">IF(N128="","",N128)</f>
        <v/>
      </c>
      <c r="E128" s="13" t="str">
        <f aca="false">IFERROR(VALUE(TRIM(LEFT(RIGHT(D128,18),11))),"")</f>
        <v/>
      </c>
      <c r="J128" s="13" t="str">
        <f aca="false">IFERROR(VALUE(TRIM(LEFT(RIGHT(I128,18),11))),"")</f>
        <v/>
      </c>
      <c r="N128" s="13" t="str">
        <f aca="false">IFERROR(VALUE(TRIM(LEFT(RIGHT(M128,18),11))),"")</f>
        <v/>
      </c>
    </row>
    <row r="129" customFormat="false" ht="14.25" hidden="false" customHeight="true" outlineLevel="0" collapsed="false">
      <c r="A129" s="12" t="str">
        <f aca="false">IF(E129="","",E129)</f>
        <v/>
      </c>
      <c r="B129" s="12" t="str">
        <f aca="false">IF(J129="","",J129)</f>
        <v/>
      </c>
      <c r="C129" s="12" t="str">
        <f aca="false">IF(N129="","",N129)</f>
        <v/>
      </c>
      <c r="E129" s="13" t="str">
        <f aca="false">IFERROR(VALUE(TRIM(LEFT(RIGHT(D129,18),11))),"")</f>
        <v/>
      </c>
      <c r="J129" s="13" t="str">
        <f aca="false">IFERROR(VALUE(TRIM(LEFT(RIGHT(I129,18),11))),"")</f>
        <v/>
      </c>
      <c r="N129" s="13" t="str">
        <f aca="false">IFERROR(VALUE(TRIM(LEFT(RIGHT(M129,18),11))),"")</f>
        <v/>
      </c>
    </row>
    <row r="130" customFormat="false" ht="14.25" hidden="false" customHeight="true" outlineLevel="0" collapsed="false">
      <c r="A130" s="12" t="str">
        <f aca="false">IF(E130="","",E130)</f>
        <v/>
      </c>
      <c r="B130" s="12" t="str">
        <f aca="false">IF(J130="","",J130)</f>
        <v/>
      </c>
      <c r="C130" s="12" t="str">
        <f aca="false">IF(N130="","",N130)</f>
        <v/>
      </c>
      <c r="E130" s="13" t="str">
        <f aca="false">IFERROR(VALUE(TRIM(LEFT(RIGHT(D130,18),11))),"")</f>
        <v/>
      </c>
      <c r="J130" s="13" t="str">
        <f aca="false">IFERROR(VALUE(TRIM(LEFT(RIGHT(I130,18),11))),"")</f>
        <v/>
      </c>
      <c r="N130" s="13" t="str">
        <f aca="false">IFERROR(VALUE(TRIM(LEFT(RIGHT(M130,18),11))),"")</f>
        <v/>
      </c>
    </row>
    <row r="131" customFormat="false" ht="14.25" hidden="false" customHeight="true" outlineLevel="0" collapsed="false">
      <c r="A131" s="12" t="str">
        <f aca="false">IF(E131="","",E131)</f>
        <v/>
      </c>
      <c r="B131" s="12" t="str">
        <f aca="false">IF(J131="","",J131)</f>
        <v/>
      </c>
      <c r="C131" s="12" t="str">
        <f aca="false">IF(N131="","",N131)</f>
        <v/>
      </c>
      <c r="E131" s="13" t="str">
        <f aca="false">IFERROR(VALUE(TRIM(LEFT(RIGHT(D131,18),11))),"")</f>
        <v/>
      </c>
      <c r="J131" s="13" t="str">
        <f aca="false">IFERROR(VALUE(TRIM(LEFT(RIGHT(I131,18),11))),"")</f>
        <v/>
      </c>
      <c r="N131" s="13" t="str">
        <f aca="false">IFERROR(VALUE(TRIM(LEFT(RIGHT(M131,18),11))),"")</f>
        <v/>
      </c>
    </row>
    <row r="132" customFormat="false" ht="14.25" hidden="false" customHeight="true" outlineLevel="0" collapsed="false">
      <c r="A132" s="12" t="str">
        <f aca="false">IF(E132="","",E132)</f>
        <v/>
      </c>
      <c r="B132" s="12" t="str">
        <f aca="false">IF(J132="","",J132)</f>
        <v/>
      </c>
      <c r="C132" s="12" t="str">
        <f aca="false">IF(N132="","",N132)</f>
        <v/>
      </c>
      <c r="E132" s="13" t="str">
        <f aca="false">IFERROR(VALUE(TRIM(LEFT(RIGHT(D132,18),11))),"")</f>
        <v/>
      </c>
      <c r="J132" s="13" t="str">
        <f aca="false">IFERROR(VALUE(TRIM(LEFT(RIGHT(I132,18),11))),"")</f>
        <v/>
      </c>
      <c r="N132" s="13" t="str">
        <f aca="false">IFERROR(VALUE(TRIM(LEFT(RIGHT(M132,18),11))),"")</f>
        <v/>
      </c>
    </row>
    <row r="133" customFormat="false" ht="14.25" hidden="false" customHeight="true" outlineLevel="0" collapsed="false">
      <c r="A133" s="12" t="str">
        <f aca="false">IF(E133="","",E133)</f>
        <v/>
      </c>
      <c r="B133" s="12" t="str">
        <f aca="false">IF(J133="","",J133)</f>
        <v/>
      </c>
      <c r="C133" s="12" t="str">
        <f aca="false">IF(N133="","",N133)</f>
        <v/>
      </c>
      <c r="E133" s="13" t="str">
        <f aca="false">IFERROR(VALUE(TRIM(LEFT(RIGHT(D133,18),11))),"")</f>
        <v/>
      </c>
      <c r="J133" s="13" t="str">
        <f aca="false">IFERROR(VALUE(TRIM(LEFT(RIGHT(I133,18),11))),"")</f>
        <v/>
      </c>
      <c r="N133" s="13" t="str">
        <f aca="false">IFERROR(VALUE(TRIM(LEFT(RIGHT(M133,18),11))),"")</f>
        <v/>
      </c>
    </row>
    <row r="134" customFormat="false" ht="14.25" hidden="false" customHeight="true" outlineLevel="0" collapsed="false">
      <c r="A134" s="12" t="str">
        <f aca="false">IF(E134="","",E134)</f>
        <v/>
      </c>
      <c r="B134" s="12" t="str">
        <f aca="false">IF(J134="","",J134)</f>
        <v/>
      </c>
      <c r="C134" s="12" t="str">
        <f aca="false">IF(N134="","",N134)</f>
        <v/>
      </c>
      <c r="E134" s="13" t="str">
        <f aca="false">IFERROR(VALUE(TRIM(LEFT(RIGHT(D134,18),11))),"")</f>
        <v/>
      </c>
      <c r="J134" s="13" t="str">
        <f aca="false">IFERROR(VALUE(TRIM(LEFT(RIGHT(I134,18),11))),"")</f>
        <v/>
      </c>
      <c r="N134" s="13" t="str">
        <f aca="false">IFERROR(VALUE(TRIM(LEFT(RIGHT(M134,18),11))),"")</f>
        <v/>
      </c>
    </row>
    <row r="135" customFormat="false" ht="14.25" hidden="false" customHeight="true" outlineLevel="0" collapsed="false">
      <c r="A135" s="12" t="str">
        <f aca="false">IF(E135="","",E135)</f>
        <v/>
      </c>
      <c r="B135" s="12" t="str">
        <f aca="false">IF(J135="","",J135)</f>
        <v/>
      </c>
      <c r="C135" s="12" t="str">
        <f aca="false">IF(N135="","",N135)</f>
        <v/>
      </c>
      <c r="E135" s="13" t="str">
        <f aca="false">IFERROR(VALUE(TRIM(LEFT(RIGHT(D135,18),11))),"")</f>
        <v/>
      </c>
      <c r="J135" s="13" t="str">
        <f aca="false">IFERROR(VALUE(TRIM(LEFT(RIGHT(I135,18),11))),"")</f>
        <v/>
      </c>
      <c r="N135" s="13" t="str">
        <f aca="false">IFERROR(VALUE(TRIM(LEFT(RIGHT(M135,18),11))),"")</f>
        <v/>
      </c>
    </row>
    <row r="136" customFormat="false" ht="14.25" hidden="false" customHeight="true" outlineLevel="0" collapsed="false">
      <c r="A136" s="12" t="str">
        <f aca="false">IF(E136="","",E136)</f>
        <v/>
      </c>
      <c r="B136" s="12" t="str">
        <f aca="false">IF(J136="","",J136)</f>
        <v/>
      </c>
      <c r="C136" s="12" t="str">
        <f aca="false">IF(N136="","",N136)</f>
        <v/>
      </c>
      <c r="E136" s="13" t="str">
        <f aca="false">IFERROR(VALUE(TRIM(LEFT(RIGHT(D136,18),11))),"")</f>
        <v/>
      </c>
      <c r="J136" s="13" t="str">
        <f aca="false">IFERROR(VALUE(TRIM(LEFT(RIGHT(I136,18),11))),"")</f>
        <v/>
      </c>
      <c r="N136" s="13" t="str">
        <f aca="false">IFERROR(VALUE(TRIM(LEFT(RIGHT(M136,18),11))),"")</f>
        <v/>
      </c>
    </row>
    <row r="137" customFormat="false" ht="14.25" hidden="false" customHeight="true" outlineLevel="0" collapsed="false">
      <c r="A137" s="12" t="str">
        <f aca="false">IF(E137="","",E137)</f>
        <v/>
      </c>
      <c r="B137" s="12" t="str">
        <f aca="false">IF(J137="","",J137)</f>
        <v/>
      </c>
      <c r="C137" s="12" t="str">
        <f aca="false">IF(N137="","",N137)</f>
        <v/>
      </c>
      <c r="E137" s="13" t="str">
        <f aca="false">IFERROR(VALUE(TRIM(LEFT(RIGHT(D137,18),11))),"")</f>
        <v/>
      </c>
      <c r="J137" s="13" t="str">
        <f aca="false">IFERROR(VALUE(TRIM(LEFT(RIGHT(I137,18),11))),"")</f>
        <v/>
      </c>
      <c r="N137" s="13" t="str">
        <f aca="false">IFERROR(VALUE(TRIM(LEFT(RIGHT(M137,18),11))),"")</f>
        <v/>
      </c>
    </row>
    <row r="138" customFormat="false" ht="14.25" hidden="false" customHeight="true" outlineLevel="0" collapsed="false">
      <c r="A138" s="12" t="str">
        <f aca="false">IF(E138="","",E138)</f>
        <v/>
      </c>
      <c r="B138" s="12" t="str">
        <f aca="false">IF(J138="","",J138)</f>
        <v/>
      </c>
      <c r="C138" s="12" t="str">
        <f aca="false">IF(N138="","",N138)</f>
        <v/>
      </c>
      <c r="E138" s="13" t="str">
        <f aca="false">IFERROR(VALUE(TRIM(LEFT(RIGHT(D138,18),11))),"")</f>
        <v/>
      </c>
      <c r="J138" s="13" t="str">
        <f aca="false">IFERROR(VALUE(TRIM(LEFT(RIGHT(I138,18),11))),"")</f>
        <v/>
      </c>
      <c r="N138" s="13" t="str">
        <f aca="false">IFERROR(VALUE(TRIM(LEFT(RIGHT(M138,18),11))),"")</f>
        <v/>
      </c>
    </row>
    <row r="139" customFormat="false" ht="14.25" hidden="false" customHeight="true" outlineLevel="0" collapsed="false">
      <c r="A139" s="12" t="str">
        <f aca="false">IF(E139="","",E139)</f>
        <v/>
      </c>
      <c r="B139" s="12" t="str">
        <f aca="false">IF(J139="","",J139)</f>
        <v/>
      </c>
      <c r="C139" s="12" t="str">
        <f aca="false">IF(N139="","",N139)</f>
        <v/>
      </c>
      <c r="E139" s="13" t="str">
        <f aca="false">IFERROR(VALUE(TRIM(LEFT(RIGHT(D139,18),11))),"")</f>
        <v/>
      </c>
      <c r="J139" s="13" t="str">
        <f aca="false">IFERROR(VALUE(TRIM(LEFT(RIGHT(I139,18),11))),"")</f>
        <v/>
      </c>
      <c r="N139" s="13" t="str">
        <f aca="false">IFERROR(VALUE(TRIM(LEFT(RIGHT(M139,18),11))),"")</f>
        <v/>
      </c>
    </row>
    <row r="140" customFormat="false" ht="14.25" hidden="false" customHeight="true" outlineLevel="0" collapsed="false">
      <c r="A140" s="12" t="str">
        <f aca="false">IF(E140="","",E140)</f>
        <v/>
      </c>
      <c r="B140" s="12" t="str">
        <f aca="false">IF(J140="","",J140)</f>
        <v/>
      </c>
      <c r="C140" s="12" t="str">
        <f aca="false">IF(N140="","",N140)</f>
        <v/>
      </c>
      <c r="E140" s="13" t="str">
        <f aca="false">IFERROR(VALUE(TRIM(LEFT(RIGHT(D140,18),11))),"")</f>
        <v/>
      </c>
      <c r="J140" s="13" t="str">
        <f aca="false">IFERROR(VALUE(TRIM(LEFT(RIGHT(I140,18),11))),"")</f>
        <v/>
      </c>
      <c r="N140" s="13" t="str">
        <f aca="false">IFERROR(VALUE(TRIM(LEFT(RIGHT(M140,18),11))),"")</f>
        <v/>
      </c>
    </row>
    <row r="141" customFormat="false" ht="14.25" hidden="false" customHeight="true" outlineLevel="0" collapsed="false">
      <c r="A141" s="12" t="str">
        <f aca="false">IF(E141="","",E141)</f>
        <v/>
      </c>
      <c r="B141" s="12" t="str">
        <f aca="false">IF(J141="","",J141)</f>
        <v/>
      </c>
      <c r="C141" s="12" t="str">
        <f aca="false">IF(N141="","",N141)</f>
        <v/>
      </c>
      <c r="E141" s="13" t="str">
        <f aca="false">IFERROR(VALUE(TRIM(LEFT(RIGHT(D141,18),11))),"")</f>
        <v/>
      </c>
      <c r="J141" s="13" t="str">
        <f aca="false">IFERROR(VALUE(TRIM(LEFT(RIGHT(I141,18),11))),"")</f>
        <v/>
      </c>
      <c r="N141" s="13" t="str">
        <f aca="false">IFERROR(VALUE(TRIM(LEFT(RIGHT(M141,18),11))),"")</f>
        <v/>
      </c>
    </row>
    <row r="142" customFormat="false" ht="14.25" hidden="false" customHeight="true" outlineLevel="0" collapsed="false">
      <c r="A142" s="12" t="str">
        <f aca="false">IF(E142="","",E142)</f>
        <v/>
      </c>
      <c r="B142" s="12" t="str">
        <f aca="false">IF(J142="","",J142)</f>
        <v/>
      </c>
      <c r="C142" s="12" t="str">
        <f aca="false">IF(N142="","",N142)</f>
        <v/>
      </c>
      <c r="E142" s="13" t="str">
        <f aca="false">IFERROR(VALUE(TRIM(LEFT(RIGHT(D142,18),11))),"")</f>
        <v/>
      </c>
      <c r="J142" s="13" t="str">
        <f aca="false">IFERROR(VALUE(TRIM(LEFT(RIGHT(I142,18),11))),"")</f>
        <v/>
      </c>
      <c r="N142" s="13" t="str">
        <f aca="false">IFERROR(VALUE(TRIM(LEFT(RIGHT(M142,18),11))),"")</f>
        <v/>
      </c>
    </row>
    <row r="143" customFormat="false" ht="14.25" hidden="false" customHeight="true" outlineLevel="0" collapsed="false">
      <c r="A143" s="12" t="str">
        <f aca="false">IF(E143="","",E143)</f>
        <v/>
      </c>
      <c r="B143" s="12" t="str">
        <f aca="false">IF(J143="","",J143)</f>
        <v/>
      </c>
      <c r="C143" s="12" t="str">
        <f aca="false">IF(N143="","",N143)</f>
        <v/>
      </c>
      <c r="E143" s="13" t="str">
        <f aca="false">IFERROR(VALUE(TRIM(LEFT(RIGHT(D143,18),11))),"")</f>
        <v/>
      </c>
      <c r="J143" s="13" t="str">
        <f aca="false">IFERROR(VALUE(TRIM(LEFT(RIGHT(I143,18),11))),"")</f>
        <v/>
      </c>
      <c r="N143" s="13" t="str">
        <f aca="false">IFERROR(VALUE(TRIM(LEFT(RIGHT(M143,18),11))),"")</f>
        <v/>
      </c>
    </row>
    <row r="144" customFormat="false" ht="14.25" hidden="false" customHeight="true" outlineLevel="0" collapsed="false">
      <c r="A144" s="12" t="str">
        <f aca="false">IF(E144="","",E144)</f>
        <v/>
      </c>
      <c r="B144" s="12" t="str">
        <f aca="false">IF(J144="","",J144)</f>
        <v/>
      </c>
      <c r="C144" s="12" t="str">
        <f aca="false">IF(N144="","",N144)</f>
        <v/>
      </c>
      <c r="E144" s="13" t="str">
        <f aca="false">IFERROR(VALUE(TRIM(LEFT(RIGHT(D144,18),11))),"")</f>
        <v/>
      </c>
      <c r="J144" s="13" t="str">
        <f aca="false">IFERROR(VALUE(TRIM(LEFT(RIGHT(I144,18),11))),"")</f>
        <v/>
      </c>
      <c r="N144" s="13" t="str">
        <f aca="false">IFERROR(VALUE(TRIM(LEFT(RIGHT(M144,18),11))),"")</f>
        <v/>
      </c>
    </row>
    <row r="145" customFormat="false" ht="14.25" hidden="false" customHeight="true" outlineLevel="0" collapsed="false">
      <c r="A145" s="12" t="str">
        <f aca="false">IF(E145="","",E145)</f>
        <v/>
      </c>
      <c r="B145" s="12" t="str">
        <f aca="false">IF(J145="","",J145)</f>
        <v/>
      </c>
      <c r="C145" s="12" t="str">
        <f aca="false">IF(N145="","",N145)</f>
        <v/>
      </c>
      <c r="E145" s="13" t="str">
        <f aca="false">IFERROR(VALUE(TRIM(LEFT(RIGHT(D145,18),11))),"")</f>
        <v/>
      </c>
      <c r="J145" s="13" t="str">
        <f aca="false">IFERROR(VALUE(TRIM(LEFT(RIGHT(I145,18),11))),"")</f>
        <v/>
      </c>
      <c r="N145" s="13" t="str">
        <f aca="false">IFERROR(VALUE(TRIM(LEFT(RIGHT(M145,18),11))),"")</f>
        <v/>
      </c>
    </row>
    <row r="146" customFormat="false" ht="14.25" hidden="false" customHeight="true" outlineLevel="0" collapsed="false">
      <c r="A146" s="12" t="str">
        <f aca="false">IF(E146="","",E146)</f>
        <v/>
      </c>
      <c r="B146" s="12" t="str">
        <f aca="false">IF(J146="","",J146)</f>
        <v/>
      </c>
      <c r="C146" s="12" t="str">
        <f aca="false">IF(N146="","",N146)</f>
        <v/>
      </c>
      <c r="E146" s="13" t="str">
        <f aca="false">IFERROR(VALUE(TRIM(LEFT(RIGHT(D146,18),11))),"")</f>
        <v/>
      </c>
      <c r="J146" s="13" t="str">
        <f aca="false">IFERROR(VALUE(TRIM(LEFT(RIGHT(I146,18),11))),"")</f>
        <v/>
      </c>
      <c r="N146" s="13" t="str">
        <f aca="false">IFERROR(VALUE(TRIM(LEFT(RIGHT(M146,18),11))),"")</f>
        <v/>
      </c>
    </row>
    <row r="147" customFormat="false" ht="14.25" hidden="false" customHeight="true" outlineLevel="0" collapsed="false">
      <c r="A147" s="12" t="str">
        <f aca="false">IF(E147="","",E147)</f>
        <v/>
      </c>
      <c r="B147" s="12" t="str">
        <f aca="false">IF(J147="","",J147)</f>
        <v/>
      </c>
      <c r="C147" s="12" t="str">
        <f aca="false">IF(N147="","",N147)</f>
        <v/>
      </c>
      <c r="E147" s="13" t="str">
        <f aca="false">IFERROR(VALUE(TRIM(LEFT(RIGHT(D147,18),11))),"")</f>
        <v/>
      </c>
      <c r="J147" s="13" t="str">
        <f aca="false">IFERROR(VALUE(TRIM(LEFT(RIGHT(I147,18),11))),"")</f>
        <v/>
      </c>
      <c r="N147" s="13" t="str">
        <f aca="false">IFERROR(VALUE(TRIM(LEFT(RIGHT(M147,18),11))),"")</f>
        <v/>
      </c>
    </row>
    <row r="148" customFormat="false" ht="14.25" hidden="false" customHeight="true" outlineLevel="0" collapsed="false">
      <c r="A148" s="12" t="str">
        <f aca="false">IF(E148="","",E148)</f>
        <v/>
      </c>
      <c r="B148" s="12" t="str">
        <f aca="false">IF(J148="","",J148)</f>
        <v/>
      </c>
      <c r="C148" s="12" t="str">
        <f aca="false">IF(N148="","",N148)</f>
        <v/>
      </c>
      <c r="E148" s="13" t="str">
        <f aca="false">IFERROR(VALUE(TRIM(LEFT(RIGHT(D148,18),11))),"")</f>
        <v/>
      </c>
      <c r="J148" s="13" t="str">
        <f aca="false">IFERROR(VALUE(TRIM(LEFT(RIGHT(I148,18),11))),"")</f>
        <v/>
      </c>
      <c r="N148" s="13" t="str">
        <f aca="false">IFERROR(VALUE(TRIM(LEFT(RIGHT(M148,18),11))),"")</f>
        <v/>
      </c>
    </row>
    <row r="149" customFormat="false" ht="14.25" hidden="false" customHeight="true" outlineLevel="0" collapsed="false">
      <c r="A149" s="12" t="str">
        <f aca="false">IF(E149="","",E149)</f>
        <v/>
      </c>
      <c r="B149" s="12" t="str">
        <f aca="false">IF(J149="","",J149)</f>
        <v/>
      </c>
      <c r="C149" s="12" t="str">
        <f aca="false">IF(N149="","",N149)</f>
        <v/>
      </c>
      <c r="E149" s="13" t="str">
        <f aca="false">IFERROR(VALUE(TRIM(LEFT(RIGHT(D149,18),11))),"")</f>
        <v/>
      </c>
      <c r="J149" s="13" t="str">
        <f aca="false">IFERROR(VALUE(TRIM(LEFT(RIGHT(I149,18),11))),"")</f>
        <v/>
      </c>
      <c r="N149" s="13" t="str">
        <f aca="false">IFERROR(VALUE(TRIM(LEFT(RIGHT(M149,18),11))),"")</f>
        <v/>
      </c>
    </row>
    <row r="150" customFormat="false" ht="14.25" hidden="false" customHeight="true" outlineLevel="0" collapsed="false">
      <c r="A150" s="12" t="str">
        <f aca="false">IF(E150="","",E150)</f>
        <v/>
      </c>
      <c r="B150" s="12" t="str">
        <f aca="false">IF(J150="","",J150)</f>
        <v/>
      </c>
      <c r="C150" s="12" t="str">
        <f aca="false">IF(N150="","",N150)</f>
        <v/>
      </c>
      <c r="E150" s="13" t="str">
        <f aca="false">IFERROR(VALUE(TRIM(LEFT(RIGHT(D150,18),11))),"")</f>
        <v/>
      </c>
      <c r="J150" s="13" t="str">
        <f aca="false">IFERROR(VALUE(TRIM(LEFT(RIGHT(I150,18),11))),"")</f>
        <v/>
      </c>
      <c r="N150" s="13" t="str">
        <f aca="false">IFERROR(VALUE(TRIM(LEFT(RIGHT(M150,18),11))),"")</f>
        <v/>
      </c>
    </row>
    <row r="151" customFormat="false" ht="14.25" hidden="false" customHeight="true" outlineLevel="0" collapsed="false">
      <c r="A151" s="12" t="str">
        <f aca="false">IF(E151="","",E151)</f>
        <v/>
      </c>
      <c r="B151" s="12" t="str">
        <f aca="false">IF(J151="","",J151)</f>
        <v/>
      </c>
      <c r="C151" s="12" t="str">
        <f aca="false">IF(N151="","",N151)</f>
        <v/>
      </c>
      <c r="E151" s="13" t="str">
        <f aca="false">IFERROR(VALUE(TRIM(LEFT(RIGHT(D151,18),11))),"")</f>
        <v/>
      </c>
      <c r="J151" s="13" t="str">
        <f aca="false">IFERROR(VALUE(TRIM(LEFT(RIGHT(I151,18),11))),"")</f>
        <v/>
      </c>
      <c r="N151" s="13" t="str">
        <f aca="false">IFERROR(VALUE(TRIM(LEFT(RIGHT(M151,18),11))),"")</f>
        <v/>
      </c>
    </row>
    <row r="152" customFormat="false" ht="14.25" hidden="false" customHeight="true" outlineLevel="0" collapsed="false">
      <c r="A152" s="12" t="str">
        <f aca="false">IF(E152="","",E152)</f>
        <v/>
      </c>
      <c r="B152" s="12" t="str">
        <f aca="false">IF(J152="","",J152)</f>
        <v/>
      </c>
      <c r="C152" s="12" t="str">
        <f aca="false">IF(N152="","",N152)</f>
        <v/>
      </c>
      <c r="E152" s="13" t="str">
        <f aca="false">IFERROR(VALUE(TRIM(LEFT(RIGHT(D152,18),11))),"")</f>
        <v/>
      </c>
      <c r="J152" s="13" t="str">
        <f aca="false">IFERROR(VALUE(TRIM(LEFT(RIGHT(I152,18),11))),"")</f>
        <v/>
      </c>
      <c r="N152" s="13" t="str">
        <f aca="false">IFERROR(VALUE(TRIM(LEFT(RIGHT(M152,18),11))),"")</f>
        <v/>
      </c>
    </row>
    <row r="153" customFormat="false" ht="14.25" hidden="false" customHeight="true" outlineLevel="0" collapsed="false">
      <c r="A153" s="12" t="str">
        <f aca="false">IF(E153="","",E153)</f>
        <v/>
      </c>
      <c r="B153" s="12" t="str">
        <f aca="false">IF(J153="","",J153)</f>
        <v/>
      </c>
      <c r="C153" s="12" t="str">
        <f aca="false">IF(N153="","",N153)</f>
        <v/>
      </c>
      <c r="E153" s="13" t="str">
        <f aca="false">IFERROR(VALUE(TRIM(LEFT(RIGHT(D153,18),11))),"")</f>
        <v/>
      </c>
      <c r="J153" s="13" t="str">
        <f aca="false">IFERROR(VALUE(TRIM(LEFT(RIGHT(I153,18),11))),"")</f>
        <v/>
      </c>
      <c r="N153" s="13" t="str">
        <f aca="false">IFERROR(VALUE(TRIM(LEFT(RIGHT(M153,18),11))),"")</f>
        <v/>
      </c>
    </row>
    <row r="154" customFormat="false" ht="14.25" hidden="false" customHeight="true" outlineLevel="0" collapsed="false">
      <c r="A154" s="12" t="str">
        <f aca="false">IF(E154="","",E154)</f>
        <v/>
      </c>
      <c r="B154" s="12" t="str">
        <f aca="false">IF(J154="","",J154)</f>
        <v/>
      </c>
      <c r="C154" s="12" t="str">
        <f aca="false">IF(N154="","",N154)</f>
        <v/>
      </c>
      <c r="E154" s="13" t="str">
        <f aca="false">IFERROR(VALUE(TRIM(LEFT(RIGHT(D154,18),11))),"")</f>
        <v/>
      </c>
      <c r="J154" s="13" t="str">
        <f aca="false">IFERROR(VALUE(TRIM(LEFT(RIGHT(I154,18),11))),"")</f>
        <v/>
      </c>
      <c r="N154" s="13" t="str">
        <f aca="false">IFERROR(VALUE(TRIM(LEFT(RIGHT(M154,18),11))),"")</f>
        <v/>
      </c>
    </row>
    <row r="155" customFormat="false" ht="14.25" hidden="false" customHeight="true" outlineLevel="0" collapsed="false">
      <c r="A155" s="12" t="str">
        <f aca="false">IF(E155="","",E155)</f>
        <v/>
      </c>
      <c r="B155" s="12" t="str">
        <f aca="false">IF(J155="","",J155)</f>
        <v/>
      </c>
      <c r="C155" s="12" t="str">
        <f aca="false">IF(N155="","",N155)</f>
        <v/>
      </c>
      <c r="E155" s="13" t="str">
        <f aca="false">IFERROR(VALUE(TRIM(LEFT(RIGHT(D155,18),11))),"")</f>
        <v/>
      </c>
      <c r="J155" s="13" t="str">
        <f aca="false">IFERROR(VALUE(TRIM(LEFT(RIGHT(I155,18),11))),"")</f>
        <v/>
      </c>
      <c r="N155" s="13" t="str">
        <f aca="false">IFERROR(VALUE(TRIM(LEFT(RIGHT(M155,18),11))),"")</f>
        <v/>
      </c>
    </row>
    <row r="156" customFormat="false" ht="14.25" hidden="false" customHeight="true" outlineLevel="0" collapsed="false">
      <c r="A156" s="12" t="str">
        <f aca="false">IF(E156="","",E156)</f>
        <v/>
      </c>
      <c r="B156" s="12" t="str">
        <f aca="false">IF(J156="","",J156)</f>
        <v/>
      </c>
      <c r="C156" s="12" t="str">
        <f aca="false">IF(N156="","",N156)</f>
        <v/>
      </c>
      <c r="E156" s="13" t="str">
        <f aca="false">IFERROR(VALUE(TRIM(LEFT(RIGHT(D156,18),11))),"")</f>
        <v/>
      </c>
      <c r="J156" s="13" t="str">
        <f aca="false">IFERROR(VALUE(TRIM(LEFT(RIGHT(I156,18),11))),"")</f>
        <v/>
      </c>
      <c r="N156" s="13" t="str">
        <f aca="false">IFERROR(VALUE(TRIM(LEFT(RIGHT(M156,18),11))),"")</f>
        <v/>
      </c>
    </row>
    <row r="157" customFormat="false" ht="14.25" hidden="false" customHeight="true" outlineLevel="0" collapsed="false">
      <c r="A157" s="12" t="str">
        <f aca="false">IF(E157="","",E157)</f>
        <v/>
      </c>
      <c r="B157" s="12" t="str">
        <f aca="false">IF(J157="","",J157)</f>
        <v/>
      </c>
      <c r="C157" s="12" t="str">
        <f aca="false">IF(N157="","",N157)</f>
        <v/>
      </c>
      <c r="E157" s="13" t="str">
        <f aca="false">IFERROR(VALUE(TRIM(LEFT(RIGHT(D157,18),11))),"")</f>
        <v/>
      </c>
      <c r="J157" s="13" t="str">
        <f aca="false">IFERROR(VALUE(TRIM(LEFT(RIGHT(I157,18),11))),"")</f>
        <v/>
      </c>
      <c r="N157" s="13" t="str">
        <f aca="false">IFERROR(VALUE(TRIM(LEFT(RIGHT(M157,18),11))),"")</f>
        <v/>
      </c>
    </row>
    <row r="158" customFormat="false" ht="14.25" hidden="false" customHeight="true" outlineLevel="0" collapsed="false">
      <c r="A158" s="12" t="str">
        <f aca="false">IF(E158="","",E158)</f>
        <v/>
      </c>
      <c r="B158" s="12" t="str">
        <f aca="false">IF(J158="","",J158)</f>
        <v/>
      </c>
      <c r="C158" s="12" t="str">
        <f aca="false">IF(N158="","",N158)</f>
        <v/>
      </c>
      <c r="E158" s="13" t="str">
        <f aca="false">IFERROR(VALUE(TRIM(LEFT(RIGHT(D158,18),11))),"")</f>
        <v/>
      </c>
      <c r="J158" s="13" t="str">
        <f aca="false">IFERROR(VALUE(TRIM(LEFT(RIGHT(I158,18),11))),"")</f>
        <v/>
      </c>
      <c r="N158" s="13" t="str">
        <f aca="false">IFERROR(VALUE(TRIM(LEFT(RIGHT(M158,18),11))),"")</f>
        <v/>
      </c>
    </row>
    <row r="159" customFormat="false" ht="14.25" hidden="false" customHeight="true" outlineLevel="0" collapsed="false">
      <c r="A159" s="12" t="str">
        <f aca="false">IF(E159="","",E159)</f>
        <v/>
      </c>
      <c r="B159" s="12" t="str">
        <f aca="false">IF(J159="","",J159)</f>
        <v/>
      </c>
      <c r="C159" s="12" t="str">
        <f aca="false">IF(N159="","",N159)</f>
        <v/>
      </c>
      <c r="E159" s="13" t="str">
        <f aca="false">IFERROR(VALUE(TRIM(LEFT(RIGHT(D159,18),11))),"")</f>
        <v/>
      </c>
      <c r="J159" s="13" t="str">
        <f aca="false">IFERROR(VALUE(TRIM(LEFT(RIGHT(I159,18),11))),"")</f>
        <v/>
      </c>
      <c r="N159" s="13" t="str">
        <f aca="false">IFERROR(VALUE(TRIM(LEFT(RIGHT(M159,18),11))),"")</f>
        <v/>
      </c>
    </row>
    <row r="160" customFormat="false" ht="14.25" hidden="false" customHeight="true" outlineLevel="0" collapsed="false">
      <c r="A160" s="12" t="str">
        <f aca="false">IF(E160="","",E160)</f>
        <v/>
      </c>
      <c r="B160" s="12" t="str">
        <f aca="false">IF(J160="","",J160)</f>
        <v/>
      </c>
      <c r="C160" s="12" t="str">
        <f aca="false">IF(N160="","",N160)</f>
        <v/>
      </c>
      <c r="E160" s="13" t="str">
        <f aca="false">IFERROR(VALUE(TRIM(LEFT(RIGHT(D160,18),11))),"")</f>
        <v/>
      </c>
      <c r="J160" s="13" t="str">
        <f aca="false">IFERROR(VALUE(TRIM(LEFT(RIGHT(I160,18),11))),"")</f>
        <v/>
      </c>
      <c r="N160" s="13" t="str">
        <f aca="false">IFERROR(VALUE(TRIM(LEFT(RIGHT(M160,18),11))),"")</f>
        <v/>
      </c>
    </row>
    <row r="161" customFormat="false" ht="14.25" hidden="false" customHeight="true" outlineLevel="0" collapsed="false">
      <c r="A161" s="12" t="str">
        <f aca="false">IF(E161="","",E161)</f>
        <v/>
      </c>
      <c r="B161" s="12" t="str">
        <f aca="false">IF(J161="","",J161)</f>
        <v/>
      </c>
      <c r="C161" s="12" t="str">
        <f aca="false">IF(N161="","",N161)</f>
        <v/>
      </c>
      <c r="E161" s="13" t="str">
        <f aca="false">IFERROR(VALUE(TRIM(LEFT(RIGHT(D161,18),11))),"")</f>
        <v/>
      </c>
      <c r="J161" s="13" t="str">
        <f aca="false">IFERROR(VALUE(TRIM(LEFT(RIGHT(I161,18),11))),"")</f>
        <v/>
      </c>
      <c r="N161" s="13" t="str">
        <f aca="false">IFERROR(VALUE(TRIM(LEFT(RIGHT(M161,18),11))),"")</f>
        <v/>
      </c>
    </row>
    <row r="162" customFormat="false" ht="14.25" hidden="false" customHeight="true" outlineLevel="0" collapsed="false">
      <c r="A162" s="12" t="str">
        <f aca="false">IF(E162="","",E162)</f>
        <v/>
      </c>
      <c r="B162" s="12" t="str">
        <f aca="false">IF(J162="","",J162)</f>
        <v/>
      </c>
      <c r="C162" s="12" t="str">
        <f aca="false">IF(N162="","",N162)</f>
        <v/>
      </c>
      <c r="E162" s="13" t="str">
        <f aca="false">IFERROR(VALUE(TRIM(LEFT(RIGHT(D162,18),11))),"")</f>
        <v/>
      </c>
      <c r="J162" s="13" t="str">
        <f aca="false">IFERROR(VALUE(TRIM(LEFT(RIGHT(I162,18),11))),"")</f>
        <v/>
      </c>
      <c r="N162" s="13" t="str">
        <f aca="false">IFERROR(VALUE(TRIM(LEFT(RIGHT(M162,18),11))),"")</f>
        <v/>
      </c>
    </row>
    <row r="163" customFormat="false" ht="14.25" hidden="false" customHeight="true" outlineLevel="0" collapsed="false">
      <c r="A163" s="12" t="str">
        <f aca="false">IF(E163="","",E163)</f>
        <v/>
      </c>
      <c r="B163" s="12" t="str">
        <f aca="false">IF(J163="","",J163)</f>
        <v/>
      </c>
      <c r="C163" s="12" t="str">
        <f aca="false">IF(N163="","",N163)</f>
        <v/>
      </c>
      <c r="E163" s="13" t="str">
        <f aca="false">IFERROR(VALUE(TRIM(LEFT(RIGHT(D163,18),11))),"")</f>
        <v/>
      </c>
      <c r="J163" s="13" t="str">
        <f aca="false">IFERROR(VALUE(TRIM(LEFT(RIGHT(I163,18),11))),"")</f>
        <v/>
      </c>
      <c r="N163" s="13" t="str">
        <f aca="false">IFERROR(VALUE(TRIM(LEFT(RIGHT(M163,18),11))),"")</f>
        <v/>
      </c>
    </row>
    <row r="164" customFormat="false" ht="14.25" hidden="false" customHeight="true" outlineLevel="0" collapsed="false">
      <c r="A164" s="12" t="str">
        <f aca="false">IF(E164="","",E164)</f>
        <v/>
      </c>
      <c r="B164" s="12" t="str">
        <f aca="false">IF(J164="","",J164)</f>
        <v/>
      </c>
      <c r="C164" s="12" t="str">
        <f aca="false">IF(N164="","",N164)</f>
        <v/>
      </c>
      <c r="E164" s="13" t="str">
        <f aca="false">IFERROR(VALUE(TRIM(LEFT(RIGHT(D164,18),11))),"")</f>
        <v/>
      </c>
      <c r="J164" s="13" t="str">
        <f aca="false">IFERROR(VALUE(TRIM(LEFT(RIGHT(I164,18),11))),"")</f>
        <v/>
      </c>
      <c r="N164" s="13" t="str">
        <f aca="false">IFERROR(VALUE(TRIM(LEFT(RIGHT(M164,18),11))),"")</f>
        <v/>
      </c>
    </row>
    <row r="165" customFormat="false" ht="14.25" hidden="false" customHeight="true" outlineLevel="0" collapsed="false">
      <c r="A165" s="12" t="str">
        <f aca="false">IF(E165="","",E165)</f>
        <v/>
      </c>
      <c r="B165" s="12" t="str">
        <f aca="false">IF(J165="","",J165)</f>
        <v/>
      </c>
      <c r="C165" s="12" t="str">
        <f aca="false">IF(N165="","",N165)</f>
        <v/>
      </c>
      <c r="E165" s="13" t="str">
        <f aca="false">IFERROR(VALUE(TRIM(LEFT(RIGHT(D165,18),11))),"")</f>
        <v/>
      </c>
      <c r="J165" s="13" t="str">
        <f aca="false">IFERROR(VALUE(TRIM(LEFT(RIGHT(I165,18),11))),"")</f>
        <v/>
      </c>
      <c r="N165" s="13" t="str">
        <f aca="false">IFERROR(VALUE(TRIM(LEFT(RIGHT(M165,18),11))),"")</f>
        <v/>
      </c>
    </row>
    <row r="166" customFormat="false" ht="14.25" hidden="false" customHeight="true" outlineLevel="0" collapsed="false">
      <c r="A166" s="12" t="str">
        <f aca="false">IF(E166="","",E166)</f>
        <v/>
      </c>
      <c r="B166" s="12" t="str">
        <f aca="false">IF(J166="","",J166)</f>
        <v/>
      </c>
      <c r="C166" s="12" t="str">
        <f aca="false">IF(N166="","",N166)</f>
        <v/>
      </c>
      <c r="E166" s="13" t="str">
        <f aca="false">IFERROR(VALUE(TRIM(LEFT(RIGHT(D166,18),11))),"")</f>
        <v/>
      </c>
      <c r="J166" s="13" t="str">
        <f aca="false">IFERROR(VALUE(TRIM(LEFT(RIGHT(I166,18),11))),"")</f>
        <v/>
      </c>
      <c r="N166" s="13" t="str">
        <f aca="false">IFERROR(VALUE(TRIM(LEFT(RIGHT(M166,18),11))),"")</f>
        <v/>
      </c>
    </row>
    <row r="167" customFormat="false" ht="14.25" hidden="false" customHeight="true" outlineLevel="0" collapsed="false">
      <c r="A167" s="12" t="str">
        <f aca="false">IF(E167="","",E167)</f>
        <v/>
      </c>
      <c r="B167" s="12" t="str">
        <f aca="false">IF(J167="","",J167)</f>
        <v/>
      </c>
      <c r="C167" s="12" t="str">
        <f aca="false">IF(N167="","",N167)</f>
        <v/>
      </c>
      <c r="E167" s="13" t="str">
        <f aca="false">IFERROR(VALUE(TRIM(LEFT(RIGHT(D167,18),11))),"")</f>
        <v/>
      </c>
      <c r="J167" s="13" t="str">
        <f aca="false">IFERROR(VALUE(TRIM(LEFT(RIGHT(I167,18),11))),"")</f>
        <v/>
      </c>
      <c r="N167" s="13" t="str">
        <f aca="false">IFERROR(VALUE(TRIM(LEFT(RIGHT(M167,18),11))),"")</f>
        <v/>
      </c>
    </row>
    <row r="168" customFormat="false" ht="14.25" hidden="false" customHeight="true" outlineLevel="0" collapsed="false">
      <c r="A168" s="12" t="str">
        <f aca="false">IF(E168="","",E168)</f>
        <v/>
      </c>
      <c r="B168" s="12" t="str">
        <f aca="false">IF(J168="","",J168)</f>
        <v/>
      </c>
      <c r="C168" s="12" t="str">
        <f aca="false">IF(N168="","",N168)</f>
        <v/>
      </c>
      <c r="E168" s="13" t="str">
        <f aca="false">IFERROR(VALUE(TRIM(LEFT(RIGHT(D168,18),11))),"")</f>
        <v/>
      </c>
      <c r="J168" s="13" t="str">
        <f aca="false">IFERROR(VALUE(TRIM(LEFT(RIGHT(I168,18),11))),"")</f>
        <v/>
      </c>
      <c r="N168" s="13" t="str">
        <f aca="false">IFERROR(VALUE(TRIM(LEFT(RIGHT(M168,18),11))),"")</f>
        <v/>
      </c>
    </row>
    <row r="169" customFormat="false" ht="14.25" hidden="false" customHeight="true" outlineLevel="0" collapsed="false">
      <c r="A169" s="12" t="str">
        <f aca="false">IF(E169="","",E169)</f>
        <v/>
      </c>
      <c r="B169" s="12" t="str">
        <f aca="false">IF(J169="","",J169)</f>
        <v/>
      </c>
      <c r="C169" s="12" t="str">
        <f aca="false">IF(N169="","",N169)</f>
        <v/>
      </c>
      <c r="E169" s="13" t="str">
        <f aca="false">IFERROR(VALUE(TRIM(LEFT(RIGHT(D169,18),11))),"")</f>
        <v/>
      </c>
      <c r="J169" s="13" t="str">
        <f aca="false">IFERROR(VALUE(TRIM(LEFT(RIGHT(I169,18),11))),"")</f>
        <v/>
      </c>
      <c r="N169" s="13" t="str">
        <f aca="false">IFERROR(VALUE(TRIM(LEFT(RIGHT(M169,18),11))),"")</f>
        <v/>
      </c>
    </row>
    <row r="170" customFormat="false" ht="14.25" hidden="false" customHeight="true" outlineLevel="0" collapsed="false">
      <c r="A170" s="12" t="str">
        <f aca="false">IF(E170="","",E170)</f>
        <v/>
      </c>
      <c r="B170" s="12" t="str">
        <f aca="false">IF(J170="","",J170)</f>
        <v/>
      </c>
      <c r="C170" s="12" t="str">
        <f aca="false">IF(N170="","",N170)</f>
        <v/>
      </c>
      <c r="E170" s="13" t="str">
        <f aca="false">IFERROR(VALUE(TRIM(LEFT(RIGHT(D170,18),11))),"")</f>
        <v/>
      </c>
      <c r="J170" s="13" t="str">
        <f aca="false">IFERROR(VALUE(TRIM(LEFT(RIGHT(I170,18),11))),"")</f>
        <v/>
      </c>
      <c r="N170" s="13" t="str">
        <f aca="false">IFERROR(VALUE(TRIM(LEFT(RIGHT(M170,18),11))),"")</f>
        <v/>
      </c>
    </row>
    <row r="171" customFormat="false" ht="14.25" hidden="false" customHeight="true" outlineLevel="0" collapsed="false">
      <c r="A171" s="12" t="str">
        <f aca="false">IF(E171="","",E171)</f>
        <v/>
      </c>
      <c r="B171" s="12" t="str">
        <f aca="false">IF(J171="","",J171)</f>
        <v/>
      </c>
      <c r="C171" s="12" t="str">
        <f aca="false">IF(N171="","",N171)</f>
        <v/>
      </c>
      <c r="E171" s="13" t="str">
        <f aca="false">IFERROR(VALUE(TRIM(LEFT(RIGHT(D171,18),11))),"")</f>
        <v/>
      </c>
      <c r="J171" s="13" t="str">
        <f aca="false">IFERROR(VALUE(TRIM(LEFT(RIGHT(I171,18),11))),"")</f>
        <v/>
      </c>
      <c r="N171" s="13" t="str">
        <f aca="false">IFERROR(VALUE(TRIM(LEFT(RIGHT(M171,18),11))),"")</f>
        <v/>
      </c>
    </row>
    <row r="172" customFormat="false" ht="14.25" hidden="false" customHeight="true" outlineLevel="0" collapsed="false">
      <c r="A172" s="12" t="str">
        <f aca="false">IF(E172="","",E172)</f>
        <v/>
      </c>
      <c r="B172" s="12" t="str">
        <f aca="false">IF(J172="","",J172)</f>
        <v/>
      </c>
      <c r="C172" s="12" t="str">
        <f aca="false">IF(N172="","",N172)</f>
        <v/>
      </c>
      <c r="E172" s="13" t="str">
        <f aca="false">IFERROR(VALUE(TRIM(LEFT(RIGHT(D172,18),11))),"")</f>
        <v/>
      </c>
      <c r="J172" s="13" t="str">
        <f aca="false">IFERROR(VALUE(TRIM(LEFT(RIGHT(I172,18),11))),"")</f>
        <v/>
      </c>
      <c r="N172" s="13" t="str">
        <f aca="false">IFERROR(VALUE(TRIM(LEFT(RIGHT(M172,18),11))),"")</f>
        <v/>
      </c>
    </row>
    <row r="173" customFormat="false" ht="14.25" hidden="false" customHeight="true" outlineLevel="0" collapsed="false">
      <c r="A173" s="12" t="str">
        <f aca="false">IF(E173="","",E173)</f>
        <v/>
      </c>
      <c r="B173" s="12" t="str">
        <f aca="false">IF(J173="","",J173)</f>
        <v/>
      </c>
      <c r="C173" s="12" t="str">
        <f aca="false">IF(N173="","",N173)</f>
        <v/>
      </c>
      <c r="E173" s="13" t="str">
        <f aca="false">IFERROR(VALUE(TRIM(LEFT(RIGHT(D173,18),11))),"")</f>
        <v/>
      </c>
      <c r="J173" s="13" t="str">
        <f aca="false">IFERROR(VALUE(TRIM(LEFT(RIGHT(I173,18),11))),"")</f>
        <v/>
      </c>
      <c r="N173" s="13" t="str">
        <f aca="false">IFERROR(VALUE(TRIM(LEFT(RIGHT(M173,18),11))),"")</f>
        <v/>
      </c>
    </row>
    <row r="174" customFormat="false" ht="14.25" hidden="false" customHeight="true" outlineLevel="0" collapsed="false">
      <c r="A174" s="12" t="str">
        <f aca="false">IF(E174="","",E174)</f>
        <v/>
      </c>
      <c r="B174" s="12" t="str">
        <f aca="false">IF(J174="","",J174)</f>
        <v/>
      </c>
      <c r="C174" s="12" t="str">
        <f aca="false">IF(N174="","",N174)</f>
        <v/>
      </c>
      <c r="E174" s="13" t="str">
        <f aca="false">IFERROR(VALUE(TRIM(LEFT(RIGHT(D174,18),11))),"")</f>
        <v/>
      </c>
      <c r="J174" s="13" t="str">
        <f aca="false">IFERROR(VALUE(TRIM(LEFT(RIGHT(I174,18),11))),"")</f>
        <v/>
      </c>
      <c r="N174" s="13" t="str">
        <f aca="false">IFERROR(VALUE(TRIM(LEFT(RIGHT(M174,18),11))),"")</f>
        <v/>
      </c>
    </row>
    <row r="175" customFormat="false" ht="14.25" hidden="false" customHeight="true" outlineLevel="0" collapsed="false">
      <c r="A175" s="12" t="str">
        <f aca="false">IF(E175="","",E175)</f>
        <v/>
      </c>
      <c r="B175" s="12" t="str">
        <f aca="false">IF(J175="","",J175)</f>
        <v/>
      </c>
      <c r="C175" s="12" t="str">
        <f aca="false">IF(N175="","",N175)</f>
        <v/>
      </c>
      <c r="E175" s="13" t="str">
        <f aca="false">IFERROR(VALUE(TRIM(LEFT(RIGHT(D175,18),11))),"")</f>
        <v/>
      </c>
      <c r="J175" s="13" t="str">
        <f aca="false">IFERROR(VALUE(TRIM(LEFT(RIGHT(I175,18),11))),"")</f>
        <v/>
      </c>
      <c r="N175" s="13" t="str">
        <f aca="false">IFERROR(VALUE(TRIM(LEFT(RIGHT(M175,18),11))),"")</f>
        <v/>
      </c>
    </row>
    <row r="176" customFormat="false" ht="14.25" hidden="false" customHeight="true" outlineLevel="0" collapsed="false">
      <c r="A176" s="12" t="str">
        <f aca="false">IF(E176="","",E176)</f>
        <v/>
      </c>
      <c r="B176" s="12" t="str">
        <f aca="false">IF(J176="","",J176)</f>
        <v/>
      </c>
      <c r="C176" s="12" t="str">
        <f aca="false">IF(N176="","",N176)</f>
        <v/>
      </c>
      <c r="E176" s="13" t="str">
        <f aca="false">IFERROR(VALUE(TRIM(LEFT(RIGHT(D176,18),11))),"")</f>
        <v/>
      </c>
      <c r="J176" s="13" t="str">
        <f aca="false">IFERROR(VALUE(TRIM(LEFT(RIGHT(I176,18),11))),"")</f>
        <v/>
      </c>
      <c r="N176" s="13" t="str">
        <f aca="false">IFERROR(VALUE(TRIM(LEFT(RIGHT(M176,18),11))),"")</f>
        <v/>
      </c>
    </row>
    <row r="177" customFormat="false" ht="14.25" hidden="false" customHeight="true" outlineLevel="0" collapsed="false">
      <c r="A177" s="12" t="str">
        <f aca="false">IF(E177="","",E177)</f>
        <v/>
      </c>
      <c r="B177" s="12" t="str">
        <f aca="false">IF(J177="","",J177)</f>
        <v/>
      </c>
      <c r="C177" s="12" t="str">
        <f aca="false">IF(N177="","",N177)</f>
        <v/>
      </c>
      <c r="E177" s="13" t="str">
        <f aca="false">IFERROR(VALUE(TRIM(LEFT(RIGHT(D177,18),11))),"")</f>
        <v/>
      </c>
      <c r="J177" s="13" t="str">
        <f aca="false">IFERROR(VALUE(TRIM(LEFT(RIGHT(I177,18),11))),"")</f>
        <v/>
      </c>
      <c r="N177" s="13" t="str">
        <f aca="false">IFERROR(VALUE(TRIM(LEFT(RIGHT(M177,18),11))),"")</f>
        <v/>
      </c>
    </row>
    <row r="178" customFormat="false" ht="14.25" hidden="false" customHeight="true" outlineLevel="0" collapsed="false">
      <c r="A178" s="12" t="str">
        <f aca="false">IF(E178="","",E178)</f>
        <v/>
      </c>
      <c r="B178" s="12" t="str">
        <f aca="false">IF(J178="","",J178)</f>
        <v/>
      </c>
      <c r="C178" s="12" t="str">
        <f aca="false">IF(N178="","",N178)</f>
        <v/>
      </c>
      <c r="E178" s="13" t="str">
        <f aca="false">IFERROR(VALUE(TRIM(LEFT(RIGHT(D178,18),11))),"")</f>
        <v/>
      </c>
      <c r="J178" s="13" t="str">
        <f aca="false">IFERROR(VALUE(TRIM(LEFT(RIGHT(I178,18),11))),"")</f>
        <v/>
      </c>
      <c r="N178" s="13" t="str">
        <f aca="false">IFERROR(VALUE(TRIM(LEFT(RIGHT(M178,18),11))),"")</f>
        <v/>
      </c>
    </row>
    <row r="179" customFormat="false" ht="14.25" hidden="false" customHeight="true" outlineLevel="0" collapsed="false">
      <c r="A179" s="12" t="str">
        <f aca="false">IF(E179="","",E179)</f>
        <v/>
      </c>
      <c r="B179" s="12" t="str">
        <f aca="false">IF(J179="","",J179)</f>
        <v/>
      </c>
      <c r="C179" s="12" t="str">
        <f aca="false">IF(N179="","",N179)</f>
        <v/>
      </c>
      <c r="E179" s="13" t="str">
        <f aca="false">IFERROR(VALUE(TRIM(LEFT(RIGHT(D179,18),11))),"")</f>
        <v/>
      </c>
      <c r="J179" s="13" t="str">
        <f aca="false">IFERROR(VALUE(TRIM(LEFT(RIGHT(I179,18),11))),"")</f>
        <v/>
      </c>
      <c r="N179" s="13" t="str">
        <f aca="false">IFERROR(VALUE(TRIM(LEFT(RIGHT(M179,18),11))),"")</f>
        <v/>
      </c>
    </row>
    <row r="180" customFormat="false" ht="14.25" hidden="false" customHeight="true" outlineLevel="0" collapsed="false">
      <c r="A180" s="12" t="str">
        <f aca="false">IF(E180="","",E180)</f>
        <v/>
      </c>
      <c r="B180" s="12" t="str">
        <f aca="false">IF(J180="","",J180)</f>
        <v/>
      </c>
      <c r="C180" s="12" t="str">
        <f aca="false">IF(N180="","",N180)</f>
        <v/>
      </c>
      <c r="E180" s="13" t="str">
        <f aca="false">IFERROR(VALUE(TRIM(LEFT(RIGHT(D180,18),11))),"")</f>
        <v/>
      </c>
      <c r="J180" s="13" t="str">
        <f aca="false">IFERROR(VALUE(TRIM(LEFT(RIGHT(I180,18),11))),"")</f>
        <v/>
      </c>
      <c r="N180" s="13" t="str">
        <f aca="false">IFERROR(VALUE(TRIM(LEFT(RIGHT(M180,18),11))),"")</f>
        <v/>
      </c>
    </row>
    <row r="181" customFormat="false" ht="14.25" hidden="false" customHeight="true" outlineLevel="0" collapsed="false">
      <c r="A181" s="12" t="str">
        <f aca="false">IF(E181="","",E181)</f>
        <v/>
      </c>
      <c r="B181" s="12" t="str">
        <f aca="false">IF(J181="","",J181)</f>
        <v/>
      </c>
      <c r="C181" s="12" t="str">
        <f aca="false">IF(N181="","",N181)</f>
        <v/>
      </c>
      <c r="E181" s="13" t="str">
        <f aca="false">IFERROR(VALUE(TRIM(LEFT(RIGHT(D181,18),11))),"")</f>
        <v/>
      </c>
      <c r="J181" s="13" t="str">
        <f aca="false">IFERROR(VALUE(TRIM(LEFT(RIGHT(I181,18),11))),"")</f>
        <v/>
      </c>
      <c r="N181" s="13" t="str">
        <f aca="false">IFERROR(VALUE(TRIM(LEFT(RIGHT(M181,18),11))),"")</f>
        <v/>
      </c>
    </row>
    <row r="182" customFormat="false" ht="14.25" hidden="false" customHeight="true" outlineLevel="0" collapsed="false">
      <c r="A182" s="12" t="str">
        <f aca="false">IF(E182="","",E182)</f>
        <v/>
      </c>
      <c r="B182" s="12" t="str">
        <f aca="false">IF(J182="","",J182)</f>
        <v/>
      </c>
      <c r="C182" s="12" t="str">
        <f aca="false">IF(N182="","",N182)</f>
        <v/>
      </c>
      <c r="E182" s="13" t="str">
        <f aca="false">IFERROR(VALUE(TRIM(LEFT(RIGHT(D182,18),11))),"")</f>
        <v/>
      </c>
      <c r="J182" s="13" t="str">
        <f aca="false">IFERROR(VALUE(TRIM(LEFT(RIGHT(I182,18),11))),"")</f>
        <v/>
      </c>
      <c r="N182" s="13" t="str">
        <f aca="false">IFERROR(VALUE(TRIM(LEFT(RIGHT(M182,18),11))),"")</f>
        <v/>
      </c>
    </row>
    <row r="183" customFormat="false" ht="14.25" hidden="false" customHeight="true" outlineLevel="0" collapsed="false">
      <c r="A183" s="12" t="str">
        <f aca="false">IF(E183="","",E183)</f>
        <v/>
      </c>
      <c r="B183" s="12" t="str">
        <f aca="false">IF(J183="","",J183)</f>
        <v/>
      </c>
      <c r="C183" s="12" t="str">
        <f aca="false">IF(N183="","",N183)</f>
        <v/>
      </c>
      <c r="E183" s="13" t="str">
        <f aca="false">IFERROR(VALUE(TRIM(LEFT(RIGHT(D183,18),11))),"")</f>
        <v/>
      </c>
      <c r="J183" s="13" t="str">
        <f aca="false">IFERROR(VALUE(TRIM(LEFT(RIGHT(I183,18),11))),"")</f>
        <v/>
      </c>
      <c r="N183" s="13" t="str">
        <f aca="false">IFERROR(VALUE(TRIM(LEFT(RIGHT(M183,18),11))),"")</f>
        <v/>
      </c>
    </row>
    <row r="184" customFormat="false" ht="14.25" hidden="false" customHeight="true" outlineLevel="0" collapsed="false">
      <c r="A184" s="12" t="str">
        <f aca="false">IF(E184="","",E184)</f>
        <v/>
      </c>
      <c r="B184" s="12" t="str">
        <f aca="false">IF(J184="","",J184)</f>
        <v/>
      </c>
      <c r="C184" s="12" t="str">
        <f aca="false">IF(N184="","",N184)</f>
        <v/>
      </c>
      <c r="E184" s="13" t="str">
        <f aca="false">IFERROR(VALUE(TRIM(LEFT(RIGHT(D184,18),11))),"")</f>
        <v/>
      </c>
      <c r="J184" s="13" t="str">
        <f aca="false">IFERROR(VALUE(TRIM(LEFT(RIGHT(I184,18),11))),"")</f>
        <v/>
      </c>
      <c r="N184" s="13" t="str">
        <f aca="false">IFERROR(VALUE(TRIM(LEFT(RIGHT(M184,18),11))),"")</f>
        <v/>
      </c>
    </row>
    <row r="185" customFormat="false" ht="14.25" hidden="false" customHeight="true" outlineLevel="0" collapsed="false">
      <c r="A185" s="12" t="str">
        <f aca="false">IF(E185="","",E185)</f>
        <v/>
      </c>
      <c r="B185" s="12" t="str">
        <f aca="false">IF(J185="","",J185)</f>
        <v/>
      </c>
      <c r="C185" s="12" t="str">
        <f aca="false">IF(N185="","",N185)</f>
        <v/>
      </c>
      <c r="E185" s="13" t="str">
        <f aca="false">IFERROR(VALUE(TRIM(LEFT(RIGHT(D185,18),11))),"")</f>
        <v/>
      </c>
      <c r="J185" s="13" t="str">
        <f aca="false">IFERROR(VALUE(TRIM(LEFT(RIGHT(I185,18),11))),"")</f>
        <v/>
      </c>
      <c r="N185" s="13" t="str">
        <f aca="false">IFERROR(VALUE(TRIM(LEFT(RIGHT(M185,18),11))),"")</f>
        <v/>
      </c>
    </row>
    <row r="186" customFormat="false" ht="14.25" hidden="false" customHeight="true" outlineLevel="0" collapsed="false">
      <c r="A186" s="12" t="str">
        <f aca="false">IF(E186="","",E186)</f>
        <v/>
      </c>
      <c r="B186" s="12" t="str">
        <f aca="false">IF(J186="","",J186)</f>
        <v/>
      </c>
      <c r="C186" s="12" t="str">
        <f aca="false">IF(N186="","",N186)</f>
        <v/>
      </c>
      <c r="E186" s="13" t="str">
        <f aca="false">IFERROR(VALUE(TRIM(LEFT(RIGHT(D186,18),11))),"")</f>
        <v/>
      </c>
      <c r="J186" s="13" t="str">
        <f aca="false">IFERROR(VALUE(TRIM(LEFT(RIGHT(I186,18),11))),"")</f>
        <v/>
      </c>
      <c r="N186" s="13" t="str">
        <f aca="false">IFERROR(VALUE(TRIM(LEFT(RIGHT(M186,18),11))),"")</f>
        <v/>
      </c>
    </row>
    <row r="187" customFormat="false" ht="14.25" hidden="false" customHeight="true" outlineLevel="0" collapsed="false">
      <c r="A187" s="12" t="str">
        <f aca="false">IF(E187="","",E187)</f>
        <v/>
      </c>
      <c r="B187" s="12" t="str">
        <f aca="false">IF(J187="","",J187)</f>
        <v/>
      </c>
      <c r="C187" s="12" t="str">
        <f aca="false">IF(N187="","",N187)</f>
        <v/>
      </c>
      <c r="E187" s="13" t="str">
        <f aca="false">IFERROR(VALUE(TRIM(LEFT(RIGHT(D187,18),11))),"")</f>
        <v/>
      </c>
      <c r="J187" s="13" t="str">
        <f aca="false">IFERROR(VALUE(TRIM(LEFT(RIGHT(I187,18),11))),"")</f>
        <v/>
      </c>
      <c r="N187" s="13" t="str">
        <f aca="false">IFERROR(VALUE(TRIM(LEFT(RIGHT(M187,18),11))),"")</f>
        <v/>
      </c>
    </row>
    <row r="188" customFormat="false" ht="14.25" hidden="false" customHeight="true" outlineLevel="0" collapsed="false">
      <c r="A188" s="12" t="str">
        <f aca="false">IF(E188="","",E188)</f>
        <v/>
      </c>
      <c r="B188" s="12" t="str">
        <f aca="false">IF(J188="","",J188)</f>
        <v/>
      </c>
      <c r="C188" s="12" t="str">
        <f aca="false">IF(N188="","",N188)</f>
        <v/>
      </c>
      <c r="E188" s="13" t="str">
        <f aca="false">IFERROR(VALUE(TRIM(LEFT(RIGHT(D188,18),11))),"")</f>
        <v/>
      </c>
      <c r="J188" s="13" t="str">
        <f aca="false">IFERROR(VALUE(TRIM(LEFT(RIGHT(I188,18),11))),"")</f>
        <v/>
      </c>
      <c r="N188" s="13" t="str">
        <f aca="false">IFERROR(VALUE(TRIM(LEFT(RIGHT(M188,18),11))),"")</f>
        <v/>
      </c>
    </row>
    <row r="189" customFormat="false" ht="14.25" hidden="false" customHeight="true" outlineLevel="0" collapsed="false">
      <c r="A189" s="12" t="str">
        <f aca="false">IF(E189="","",E189)</f>
        <v/>
      </c>
      <c r="B189" s="12" t="str">
        <f aca="false">IF(J189="","",J189)</f>
        <v/>
      </c>
      <c r="C189" s="12" t="str">
        <f aca="false">IF(N189="","",N189)</f>
        <v/>
      </c>
      <c r="E189" s="13" t="str">
        <f aca="false">IFERROR(VALUE(TRIM(LEFT(RIGHT(D189,18),11))),"")</f>
        <v/>
      </c>
      <c r="J189" s="13" t="str">
        <f aca="false">IFERROR(VALUE(TRIM(LEFT(RIGHT(I189,18),11))),"")</f>
        <v/>
      </c>
      <c r="N189" s="13" t="str">
        <f aca="false">IFERROR(VALUE(TRIM(LEFT(RIGHT(M189,18),11))),"")</f>
        <v/>
      </c>
    </row>
    <row r="190" customFormat="false" ht="14.25" hidden="false" customHeight="true" outlineLevel="0" collapsed="false">
      <c r="A190" s="12" t="str">
        <f aca="false">IF(E190="","",E190)</f>
        <v/>
      </c>
      <c r="B190" s="12" t="str">
        <f aca="false">IF(J190="","",J190)</f>
        <v/>
      </c>
      <c r="C190" s="12" t="str">
        <f aca="false">IF(N190="","",N190)</f>
        <v/>
      </c>
      <c r="E190" s="13" t="str">
        <f aca="false">IFERROR(VALUE(TRIM(LEFT(RIGHT(D190,18),11))),"")</f>
        <v/>
      </c>
      <c r="J190" s="13" t="str">
        <f aca="false">IFERROR(VALUE(TRIM(LEFT(RIGHT(I190,18),11))),"")</f>
        <v/>
      </c>
      <c r="N190" s="13" t="str">
        <f aca="false">IFERROR(VALUE(TRIM(LEFT(RIGHT(M190,18),11))),"")</f>
        <v/>
      </c>
    </row>
    <row r="191" customFormat="false" ht="14.25" hidden="false" customHeight="true" outlineLevel="0" collapsed="false">
      <c r="A191" s="12" t="str">
        <f aca="false">IF(E191="","",E191)</f>
        <v/>
      </c>
      <c r="B191" s="12" t="str">
        <f aca="false">IF(J191="","",J191)</f>
        <v/>
      </c>
      <c r="C191" s="12" t="str">
        <f aca="false">IF(N191="","",N191)</f>
        <v/>
      </c>
      <c r="E191" s="13" t="str">
        <f aca="false">IFERROR(VALUE(TRIM(LEFT(RIGHT(D191,18),11))),"")</f>
        <v/>
      </c>
      <c r="J191" s="13" t="str">
        <f aca="false">IFERROR(VALUE(TRIM(LEFT(RIGHT(I191,18),11))),"")</f>
        <v/>
      </c>
      <c r="N191" s="13" t="str">
        <f aca="false">IFERROR(VALUE(TRIM(LEFT(RIGHT(M191,18),11))),"")</f>
        <v/>
      </c>
    </row>
    <row r="192" customFormat="false" ht="14.25" hidden="false" customHeight="true" outlineLevel="0" collapsed="false">
      <c r="A192" s="12" t="str">
        <f aca="false">IF(E192="","",E192)</f>
        <v/>
      </c>
      <c r="B192" s="12" t="str">
        <f aca="false">IF(J192="","",J192)</f>
        <v/>
      </c>
      <c r="C192" s="12" t="str">
        <f aca="false">IF(N192="","",N192)</f>
        <v/>
      </c>
      <c r="E192" s="13" t="str">
        <f aca="false">IFERROR(VALUE(TRIM(LEFT(RIGHT(D192,18),11))),"")</f>
        <v/>
      </c>
      <c r="J192" s="13" t="str">
        <f aca="false">IFERROR(VALUE(TRIM(LEFT(RIGHT(I192,18),11))),"")</f>
        <v/>
      </c>
      <c r="N192" s="13" t="str">
        <f aca="false">IFERROR(VALUE(TRIM(LEFT(RIGHT(M192,18),11))),"")</f>
        <v/>
      </c>
    </row>
    <row r="193" customFormat="false" ht="14.25" hidden="false" customHeight="true" outlineLevel="0" collapsed="false">
      <c r="A193" s="12" t="str">
        <f aca="false">IF(E193="","",E193)</f>
        <v/>
      </c>
      <c r="B193" s="12" t="str">
        <f aca="false">IF(J193="","",J193)</f>
        <v/>
      </c>
      <c r="C193" s="12" t="str">
        <f aca="false">IF(N193="","",N193)</f>
        <v/>
      </c>
      <c r="E193" s="13" t="str">
        <f aca="false">IFERROR(VALUE(TRIM(LEFT(RIGHT(D193,18),11))),"")</f>
        <v/>
      </c>
      <c r="J193" s="13" t="str">
        <f aca="false">IFERROR(VALUE(TRIM(LEFT(RIGHT(I193,18),11))),"")</f>
        <v/>
      </c>
      <c r="N193" s="13" t="str">
        <f aca="false">IFERROR(VALUE(TRIM(LEFT(RIGHT(M193,18),11))),"")</f>
        <v/>
      </c>
    </row>
    <row r="194" customFormat="false" ht="14.25" hidden="false" customHeight="true" outlineLevel="0" collapsed="false">
      <c r="A194" s="12" t="str">
        <f aca="false">IF(E194="","",E194)</f>
        <v/>
      </c>
      <c r="B194" s="12" t="str">
        <f aca="false">IF(J194="","",J194)</f>
        <v/>
      </c>
      <c r="C194" s="12" t="str">
        <f aca="false">IF(N194="","",N194)</f>
        <v/>
      </c>
      <c r="E194" s="13" t="str">
        <f aca="false">IFERROR(VALUE(TRIM(LEFT(RIGHT(D194,18),11))),"")</f>
        <v/>
      </c>
      <c r="J194" s="13" t="str">
        <f aca="false">IFERROR(VALUE(TRIM(LEFT(RIGHT(I194,18),11))),"")</f>
        <v/>
      </c>
      <c r="N194" s="13" t="str">
        <f aca="false">IFERROR(VALUE(TRIM(LEFT(RIGHT(M194,18),11))),"")</f>
        <v/>
      </c>
    </row>
    <row r="195" customFormat="false" ht="14.25" hidden="false" customHeight="true" outlineLevel="0" collapsed="false">
      <c r="A195" s="12" t="str">
        <f aca="false">IF(E195="","",E195)</f>
        <v/>
      </c>
      <c r="B195" s="12" t="str">
        <f aca="false">IF(J195="","",J195)</f>
        <v/>
      </c>
      <c r="C195" s="12" t="str">
        <f aca="false">IF(N195="","",N195)</f>
        <v/>
      </c>
      <c r="E195" s="13" t="str">
        <f aca="false">IFERROR(VALUE(TRIM(LEFT(RIGHT(D195,18),11))),"")</f>
        <v/>
      </c>
      <c r="J195" s="13" t="str">
        <f aca="false">IFERROR(VALUE(TRIM(LEFT(RIGHT(I195,18),11))),"")</f>
        <v/>
      </c>
      <c r="N195" s="13" t="str">
        <f aca="false">IFERROR(VALUE(TRIM(LEFT(RIGHT(M195,18),11))),"")</f>
        <v/>
      </c>
    </row>
    <row r="196" customFormat="false" ht="14.25" hidden="false" customHeight="true" outlineLevel="0" collapsed="false">
      <c r="A196" s="12" t="str">
        <f aca="false">IF(E196="","",E196)</f>
        <v/>
      </c>
      <c r="B196" s="12" t="str">
        <f aca="false">IF(J196="","",J196)</f>
        <v/>
      </c>
      <c r="C196" s="12" t="str">
        <f aca="false">IF(N196="","",N196)</f>
        <v/>
      </c>
      <c r="E196" s="13" t="str">
        <f aca="false">IFERROR(VALUE(TRIM(LEFT(RIGHT(D196,18),11))),"")</f>
        <v/>
      </c>
      <c r="J196" s="13" t="str">
        <f aca="false">IFERROR(VALUE(TRIM(LEFT(RIGHT(I196,18),11))),"")</f>
        <v/>
      </c>
      <c r="N196" s="13" t="str">
        <f aca="false">IFERROR(VALUE(TRIM(LEFT(RIGHT(M196,18),11))),"")</f>
        <v/>
      </c>
    </row>
    <row r="197" customFormat="false" ht="14.25" hidden="false" customHeight="true" outlineLevel="0" collapsed="false">
      <c r="A197" s="12" t="str">
        <f aca="false">IF(E197="","",E197)</f>
        <v/>
      </c>
      <c r="B197" s="12" t="str">
        <f aca="false">IF(J197="","",J197)</f>
        <v/>
      </c>
      <c r="C197" s="12" t="str">
        <f aca="false">IF(N197="","",N197)</f>
        <v/>
      </c>
      <c r="E197" s="13" t="str">
        <f aca="false">IFERROR(VALUE(TRIM(LEFT(RIGHT(D197,18),11))),"")</f>
        <v/>
      </c>
      <c r="J197" s="13" t="str">
        <f aca="false">IFERROR(VALUE(TRIM(LEFT(RIGHT(I197,18),11))),"")</f>
        <v/>
      </c>
      <c r="N197" s="13" t="str">
        <f aca="false">IFERROR(VALUE(TRIM(LEFT(RIGHT(M197,18),11))),"")</f>
        <v/>
      </c>
    </row>
    <row r="198" customFormat="false" ht="14.25" hidden="false" customHeight="true" outlineLevel="0" collapsed="false">
      <c r="A198" s="12" t="str">
        <f aca="false">IF(E198="","",E198)</f>
        <v/>
      </c>
      <c r="B198" s="12" t="str">
        <f aca="false">IF(J198="","",J198)</f>
        <v/>
      </c>
      <c r="C198" s="12" t="str">
        <f aca="false">IF(N198="","",N198)</f>
        <v/>
      </c>
      <c r="E198" s="13" t="str">
        <f aca="false">IFERROR(VALUE(TRIM(LEFT(RIGHT(D198,18),11))),"")</f>
        <v/>
      </c>
      <c r="J198" s="13" t="str">
        <f aca="false">IFERROR(VALUE(TRIM(LEFT(RIGHT(I198,18),11))),"")</f>
        <v/>
      </c>
      <c r="N198" s="13" t="str">
        <f aca="false">IFERROR(VALUE(TRIM(LEFT(RIGHT(M198,18),11))),"")</f>
        <v/>
      </c>
    </row>
    <row r="199" customFormat="false" ht="14.25" hidden="false" customHeight="true" outlineLevel="0" collapsed="false">
      <c r="A199" s="12" t="str">
        <f aca="false">IF(E199="","",E199)</f>
        <v/>
      </c>
      <c r="B199" s="12" t="str">
        <f aca="false">IF(J199="","",J199)</f>
        <v/>
      </c>
      <c r="C199" s="12" t="str">
        <f aca="false">IF(N199="","",N199)</f>
        <v/>
      </c>
      <c r="E199" s="13" t="str">
        <f aca="false">IFERROR(VALUE(TRIM(LEFT(RIGHT(D199,18),11))),"")</f>
        <v/>
      </c>
      <c r="J199" s="13" t="str">
        <f aca="false">IFERROR(VALUE(TRIM(LEFT(RIGHT(I199,18),11))),"")</f>
        <v/>
      </c>
      <c r="N199" s="13" t="str">
        <f aca="false">IFERROR(VALUE(TRIM(LEFT(RIGHT(M199,18),11))),"")</f>
        <v/>
      </c>
    </row>
    <row r="200" customFormat="false" ht="14.25" hidden="false" customHeight="true" outlineLevel="0" collapsed="false">
      <c r="A200" s="12" t="str">
        <f aca="false">IF(E200="","",E200)</f>
        <v/>
      </c>
      <c r="B200" s="12" t="str">
        <f aca="false">IF(J200="","",J200)</f>
        <v/>
      </c>
      <c r="C200" s="12" t="str">
        <f aca="false">IF(N200="","",N200)</f>
        <v/>
      </c>
      <c r="E200" s="13" t="str">
        <f aca="false">IFERROR(VALUE(TRIM(LEFT(RIGHT(D200,18),11))),"")</f>
        <v/>
      </c>
      <c r="J200" s="13" t="str">
        <f aca="false">IFERROR(VALUE(TRIM(LEFT(RIGHT(I200,18),11))),"")</f>
        <v/>
      </c>
      <c r="N200" s="13" t="str">
        <f aca="false">IFERROR(VALUE(TRIM(LEFT(RIGHT(M200,18),11))),"")</f>
        <v/>
      </c>
    </row>
    <row r="201" customFormat="false" ht="14.25" hidden="false" customHeight="true" outlineLevel="0" collapsed="false">
      <c r="A201" s="12" t="str">
        <f aca="false">IF(E201="","",E201)</f>
        <v/>
      </c>
      <c r="B201" s="12" t="str">
        <f aca="false">IF(J201="","",J201)</f>
        <v/>
      </c>
      <c r="C201" s="12" t="str">
        <f aca="false">IF(N201="","",N201)</f>
        <v/>
      </c>
      <c r="E201" s="13" t="str">
        <f aca="false">IFERROR(VALUE(TRIM(LEFT(RIGHT(D201,18),11))),"")</f>
        <v/>
      </c>
      <c r="J201" s="13" t="str">
        <f aca="false">IFERROR(VALUE(TRIM(LEFT(RIGHT(I201,18),11))),"")</f>
        <v/>
      </c>
      <c r="N201" s="13" t="str">
        <f aca="false">IFERROR(VALUE(TRIM(LEFT(RIGHT(M201,18),11))),"")</f>
        <v/>
      </c>
    </row>
    <row r="202" customFormat="false" ht="14.25" hidden="false" customHeight="true" outlineLevel="0" collapsed="false">
      <c r="A202" s="12" t="str">
        <f aca="false">IF(E202="","",E202)</f>
        <v/>
      </c>
      <c r="B202" s="12" t="str">
        <f aca="false">IF(J202="","",J202)</f>
        <v/>
      </c>
      <c r="C202" s="12" t="str">
        <f aca="false">IF(N202="","",N202)</f>
        <v/>
      </c>
      <c r="E202" s="13" t="str">
        <f aca="false">IFERROR(VALUE(TRIM(LEFT(RIGHT(D202,18),11))),"")</f>
        <v/>
      </c>
      <c r="J202" s="13" t="str">
        <f aca="false">IFERROR(VALUE(TRIM(LEFT(RIGHT(I202,18),11))),"")</f>
        <v/>
      </c>
      <c r="N202" s="13" t="str">
        <f aca="false">IFERROR(VALUE(TRIM(LEFT(RIGHT(M202,18),11))),"")</f>
        <v/>
      </c>
    </row>
    <row r="203" customFormat="false" ht="14.25" hidden="false" customHeight="true" outlineLevel="0" collapsed="false">
      <c r="A203" s="12" t="str">
        <f aca="false">IF(E203="","",E203)</f>
        <v/>
      </c>
      <c r="B203" s="12" t="str">
        <f aca="false">IF(J203="","",J203)</f>
        <v/>
      </c>
      <c r="C203" s="12" t="str">
        <f aca="false">IF(N203="","",N203)</f>
        <v/>
      </c>
      <c r="E203" s="13" t="str">
        <f aca="false">IFERROR(VALUE(TRIM(LEFT(RIGHT(D203,18),11))),"")</f>
        <v/>
      </c>
      <c r="J203" s="13" t="str">
        <f aca="false">IFERROR(VALUE(TRIM(LEFT(RIGHT(I203,18),11))),"")</f>
        <v/>
      </c>
      <c r="N203" s="13" t="str">
        <f aca="false">IFERROR(VALUE(TRIM(LEFT(RIGHT(M203,18),11))),"")</f>
        <v/>
      </c>
    </row>
    <row r="204" customFormat="false" ht="14.25" hidden="false" customHeight="true" outlineLevel="0" collapsed="false">
      <c r="A204" s="12" t="str">
        <f aca="false">IF(E204="","",E204)</f>
        <v/>
      </c>
      <c r="B204" s="12" t="str">
        <f aca="false">IF(J204="","",J204)</f>
        <v/>
      </c>
      <c r="C204" s="12" t="str">
        <f aca="false">IF(N204="","",N204)</f>
        <v/>
      </c>
      <c r="E204" s="13" t="str">
        <f aca="false">IFERROR(VALUE(TRIM(LEFT(RIGHT(D204,18),11))),"")</f>
        <v/>
      </c>
      <c r="J204" s="13" t="str">
        <f aca="false">IFERROR(VALUE(TRIM(LEFT(RIGHT(I204,18),11))),"")</f>
        <v/>
      </c>
      <c r="N204" s="13" t="str">
        <f aca="false">IFERROR(VALUE(TRIM(LEFT(RIGHT(M204,18),11))),"")</f>
        <v/>
      </c>
    </row>
    <row r="205" customFormat="false" ht="14.25" hidden="false" customHeight="true" outlineLevel="0" collapsed="false">
      <c r="A205" s="12" t="str">
        <f aca="false">IF(E205="","",E205)</f>
        <v/>
      </c>
      <c r="B205" s="12" t="str">
        <f aca="false">IF(J205="","",J205)</f>
        <v/>
      </c>
      <c r="C205" s="12" t="str">
        <f aca="false">IF(N205="","",N205)</f>
        <v/>
      </c>
      <c r="E205" s="13" t="str">
        <f aca="false">IFERROR(VALUE(TRIM(LEFT(RIGHT(D205,18),11))),"")</f>
        <v/>
      </c>
      <c r="J205" s="13" t="str">
        <f aca="false">IFERROR(VALUE(TRIM(LEFT(RIGHT(I205,18),11))),"")</f>
        <v/>
      </c>
      <c r="N205" s="13" t="str">
        <f aca="false">IFERROR(VALUE(TRIM(LEFT(RIGHT(M205,18),11))),"")</f>
        <v/>
      </c>
    </row>
    <row r="206" customFormat="false" ht="14.25" hidden="false" customHeight="true" outlineLevel="0" collapsed="false">
      <c r="A206" s="12" t="str">
        <f aca="false">IF(E206="","",E206)</f>
        <v/>
      </c>
      <c r="B206" s="12" t="str">
        <f aca="false">IF(J206="","",J206)</f>
        <v/>
      </c>
      <c r="C206" s="12" t="str">
        <f aca="false">IF(N206="","",N206)</f>
        <v/>
      </c>
      <c r="E206" s="13" t="str">
        <f aca="false">IFERROR(VALUE(TRIM(LEFT(RIGHT(D206,18),11))),"")</f>
        <v/>
      </c>
      <c r="J206" s="13" t="str">
        <f aca="false">IFERROR(VALUE(TRIM(LEFT(RIGHT(I206,18),11))),"")</f>
        <v/>
      </c>
      <c r="N206" s="13" t="str">
        <f aca="false">IFERROR(VALUE(TRIM(LEFT(RIGHT(M206,18),11))),"")</f>
        <v/>
      </c>
    </row>
    <row r="207" customFormat="false" ht="14.25" hidden="false" customHeight="true" outlineLevel="0" collapsed="false">
      <c r="A207" s="12" t="str">
        <f aca="false">IF(E207="","",E207)</f>
        <v/>
      </c>
      <c r="B207" s="12" t="str">
        <f aca="false">IF(J207="","",J207)</f>
        <v/>
      </c>
      <c r="C207" s="12" t="str">
        <f aca="false">IF(N207="","",N207)</f>
        <v/>
      </c>
      <c r="E207" s="13" t="str">
        <f aca="false">IFERROR(VALUE(TRIM(LEFT(RIGHT(D207,18),11))),"")</f>
        <v/>
      </c>
      <c r="J207" s="13" t="str">
        <f aca="false">IFERROR(VALUE(TRIM(LEFT(RIGHT(I207,18),11))),"")</f>
        <v/>
      </c>
      <c r="N207" s="13" t="str">
        <f aca="false">IFERROR(VALUE(TRIM(LEFT(RIGHT(M207,18),11))),"")</f>
        <v/>
      </c>
    </row>
    <row r="208" customFormat="false" ht="14.25" hidden="false" customHeight="true" outlineLevel="0" collapsed="false">
      <c r="A208" s="12" t="str">
        <f aca="false">IF(E208="","",E208)</f>
        <v/>
      </c>
      <c r="B208" s="12" t="str">
        <f aca="false">IF(J208="","",J208)</f>
        <v/>
      </c>
      <c r="C208" s="12" t="str">
        <f aca="false">IF(N208="","",N208)</f>
        <v/>
      </c>
      <c r="E208" s="13" t="str">
        <f aca="false">IFERROR(VALUE(TRIM(LEFT(RIGHT(D208,18),11))),"")</f>
        <v/>
      </c>
      <c r="J208" s="13" t="str">
        <f aca="false">IFERROR(VALUE(TRIM(LEFT(RIGHT(I208,18),11))),"")</f>
        <v/>
      </c>
      <c r="N208" s="13" t="str">
        <f aca="false">IFERROR(VALUE(TRIM(LEFT(RIGHT(M208,18),11))),"")</f>
        <v/>
      </c>
    </row>
    <row r="209" customFormat="false" ht="14.25" hidden="false" customHeight="true" outlineLevel="0" collapsed="false">
      <c r="A209" s="12" t="str">
        <f aca="false">IF(E209="","",E209)</f>
        <v/>
      </c>
      <c r="B209" s="12" t="str">
        <f aca="false">IF(J209="","",J209)</f>
        <v/>
      </c>
      <c r="C209" s="12" t="str">
        <f aca="false">IF(N209="","",N209)</f>
        <v/>
      </c>
      <c r="E209" s="13" t="str">
        <f aca="false">IFERROR(VALUE(TRIM(LEFT(RIGHT(D209,18),11))),"")</f>
        <v/>
      </c>
      <c r="J209" s="13" t="str">
        <f aca="false">IFERROR(VALUE(TRIM(LEFT(RIGHT(I209,18),11))),"")</f>
        <v/>
      </c>
      <c r="N209" s="13" t="str">
        <f aca="false">IFERROR(VALUE(TRIM(LEFT(RIGHT(M209,18),11))),"")</f>
        <v/>
      </c>
    </row>
    <row r="210" customFormat="false" ht="14.25" hidden="false" customHeight="true" outlineLevel="0" collapsed="false">
      <c r="A210" s="12" t="str">
        <f aca="false">IF(E210="","",E210)</f>
        <v/>
      </c>
      <c r="B210" s="12" t="str">
        <f aca="false">IF(J210="","",J210)</f>
        <v/>
      </c>
      <c r="C210" s="12" t="str">
        <f aca="false">IF(N210="","",N210)</f>
        <v/>
      </c>
      <c r="E210" s="13" t="str">
        <f aca="false">IFERROR(VALUE(TRIM(LEFT(RIGHT(D210,18),11))),"")</f>
        <v/>
      </c>
      <c r="J210" s="13" t="str">
        <f aca="false">IFERROR(VALUE(TRIM(LEFT(RIGHT(I210,18),11))),"")</f>
        <v/>
      </c>
      <c r="N210" s="13" t="str">
        <f aca="false">IFERROR(VALUE(TRIM(LEFT(RIGHT(M210,18),11))),"")</f>
        <v/>
      </c>
    </row>
    <row r="211" customFormat="false" ht="14.25" hidden="false" customHeight="true" outlineLevel="0" collapsed="false">
      <c r="A211" s="12" t="str">
        <f aca="false">IF(E211="","",E211)</f>
        <v/>
      </c>
      <c r="B211" s="12" t="str">
        <f aca="false">IF(J211="","",J211)</f>
        <v/>
      </c>
      <c r="C211" s="12" t="str">
        <f aca="false">IF(N211="","",N211)</f>
        <v/>
      </c>
      <c r="E211" s="13" t="str">
        <f aca="false">IFERROR(VALUE(TRIM(LEFT(RIGHT(D211,18),11))),"")</f>
        <v/>
      </c>
      <c r="J211" s="13" t="str">
        <f aca="false">IFERROR(VALUE(TRIM(LEFT(RIGHT(I211,18),11))),"")</f>
        <v/>
      </c>
      <c r="N211" s="13" t="str">
        <f aca="false">IFERROR(VALUE(TRIM(LEFT(RIGHT(M211,18),11))),"")</f>
        <v/>
      </c>
    </row>
    <row r="212" customFormat="false" ht="14.25" hidden="false" customHeight="true" outlineLevel="0" collapsed="false">
      <c r="A212" s="12" t="str">
        <f aca="false">IF(E212="","",E212)</f>
        <v/>
      </c>
      <c r="B212" s="12" t="str">
        <f aca="false">IF(J212="","",J212)</f>
        <v/>
      </c>
      <c r="C212" s="12" t="str">
        <f aca="false">IF(N212="","",N212)</f>
        <v/>
      </c>
      <c r="E212" s="13" t="str">
        <f aca="false">IFERROR(VALUE(TRIM(LEFT(RIGHT(D212,18),11))),"")</f>
        <v/>
      </c>
      <c r="J212" s="13" t="str">
        <f aca="false">IFERROR(VALUE(TRIM(LEFT(RIGHT(I212,18),11))),"")</f>
        <v/>
      </c>
      <c r="N212" s="13" t="str">
        <f aca="false">IFERROR(VALUE(TRIM(LEFT(RIGHT(M212,18),11))),"")</f>
        <v/>
      </c>
    </row>
    <row r="213" customFormat="false" ht="14.25" hidden="false" customHeight="true" outlineLevel="0" collapsed="false">
      <c r="A213" s="12" t="str">
        <f aca="false">IF(E213="","",E213)</f>
        <v/>
      </c>
      <c r="B213" s="12" t="str">
        <f aca="false">IF(J213="","",J213)</f>
        <v/>
      </c>
      <c r="C213" s="12" t="str">
        <f aca="false">IF(N213="","",N213)</f>
        <v/>
      </c>
      <c r="E213" s="13" t="str">
        <f aca="false">IFERROR(VALUE(TRIM(LEFT(RIGHT(D213,18),11))),"")</f>
        <v/>
      </c>
      <c r="J213" s="13" t="str">
        <f aca="false">IFERROR(VALUE(TRIM(LEFT(RIGHT(I213,18),11))),"")</f>
        <v/>
      </c>
      <c r="N213" s="13" t="str">
        <f aca="false">IFERROR(VALUE(TRIM(LEFT(RIGHT(M213,18),11))),"")</f>
        <v/>
      </c>
    </row>
    <row r="214" customFormat="false" ht="14.25" hidden="false" customHeight="true" outlineLevel="0" collapsed="false">
      <c r="A214" s="12" t="str">
        <f aca="false">IF(E214="","",E214)</f>
        <v/>
      </c>
      <c r="B214" s="12" t="str">
        <f aca="false">IF(J214="","",J214)</f>
        <v/>
      </c>
      <c r="C214" s="12" t="str">
        <f aca="false">IF(N214="","",N214)</f>
        <v/>
      </c>
      <c r="E214" s="13" t="str">
        <f aca="false">IFERROR(VALUE(TRIM(LEFT(RIGHT(D214,18),11))),"")</f>
        <v/>
      </c>
      <c r="J214" s="13" t="str">
        <f aca="false">IFERROR(VALUE(TRIM(LEFT(RIGHT(I214,18),11))),"")</f>
        <v/>
      </c>
      <c r="N214" s="13" t="str">
        <f aca="false">IFERROR(VALUE(TRIM(LEFT(RIGHT(M214,18),11))),"")</f>
        <v/>
      </c>
    </row>
    <row r="215" customFormat="false" ht="14.25" hidden="false" customHeight="true" outlineLevel="0" collapsed="false">
      <c r="A215" s="12" t="str">
        <f aca="false">IF(E215="","",E215)</f>
        <v/>
      </c>
      <c r="B215" s="12" t="str">
        <f aca="false">IF(J215="","",J215)</f>
        <v/>
      </c>
      <c r="C215" s="12" t="str">
        <f aca="false">IF(N215="","",N215)</f>
        <v/>
      </c>
      <c r="E215" s="13" t="str">
        <f aca="false">IFERROR(VALUE(TRIM(LEFT(RIGHT(D215,18),11))),"")</f>
        <v/>
      </c>
      <c r="J215" s="13" t="str">
        <f aca="false">IFERROR(VALUE(TRIM(LEFT(RIGHT(I215,18),11))),"")</f>
        <v/>
      </c>
      <c r="N215" s="13" t="str">
        <f aca="false">IFERROR(VALUE(TRIM(LEFT(RIGHT(M215,18),11))),"")</f>
        <v/>
      </c>
    </row>
    <row r="216" customFormat="false" ht="14.25" hidden="false" customHeight="true" outlineLevel="0" collapsed="false">
      <c r="A216" s="12" t="str">
        <f aca="false">IF(E216="","",E216)</f>
        <v/>
      </c>
      <c r="B216" s="12" t="str">
        <f aca="false">IF(J216="","",J216)</f>
        <v/>
      </c>
      <c r="C216" s="12" t="str">
        <f aca="false">IF(N216="","",N216)</f>
        <v/>
      </c>
      <c r="E216" s="13" t="str">
        <f aca="false">IFERROR(VALUE(TRIM(LEFT(RIGHT(D216,18),11))),"")</f>
        <v/>
      </c>
      <c r="J216" s="13" t="str">
        <f aca="false">IFERROR(VALUE(TRIM(LEFT(RIGHT(I216,18),11))),"")</f>
        <v/>
      </c>
      <c r="N216" s="13" t="str">
        <f aca="false">IFERROR(VALUE(TRIM(LEFT(RIGHT(M216,18),11))),"")</f>
        <v/>
      </c>
    </row>
    <row r="217" customFormat="false" ht="14.25" hidden="false" customHeight="true" outlineLevel="0" collapsed="false">
      <c r="A217" s="12" t="str">
        <f aca="false">IF(E217="","",E217)</f>
        <v/>
      </c>
      <c r="B217" s="12" t="str">
        <f aca="false">IF(J217="","",J217)</f>
        <v/>
      </c>
      <c r="C217" s="12" t="str">
        <f aca="false">IF(N217="","",N217)</f>
        <v/>
      </c>
      <c r="E217" s="13" t="str">
        <f aca="false">IFERROR(VALUE(TRIM(LEFT(RIGHT(D217,18),11))),"")</f>
        <v/>
      </c>
      <c r="J217" s="13" t="str">
        <f aca="false">IFERROR(VALUE(TRIM(LEFT(RIGHT(I217,18),11))),"")</f>
        <v/>
      </c>
      <c r="N217" s="13" t="str">
        <f aca="false">IFERROR(VALUE(TRIM(LEFT(RIGHT(M217,18),11))),"")</f>
        <v/>
      </c>
    </row>
    <row r="218" customFormat="false" ht="14.25" hidden="false" customHeight="true" outlineLevel="0" collapsed="false">
      <c r="A218" s="12" t="str">
        <f aca="false">IF(E218="","",E218)</f>
        <v/>
      </c>
      <c r="B218" s="12" t="str">
        <f aca="false">IF(J218="","",J218)</f>
        <v/>
      </c>
      <c r="C218" s="12" t="str">
        <f aca="false">IF(N218="","",N218)</f>
        <v/>
      </c>
      <c r="E218" s="13" t="str">
        <f aca="false">IFERROR(VALUE(TRIM(LEFT(RIGHT(D218,18),11))),"")</f>
        <v/>
      </c>
      <c r="J218" s="13" t="str">
        <f aca="false">IFERROR(VALUE(TRIM(LEFT(RIGHT(I218,18),11))),"")</f>
        <v/>
      </c>
      <c r="N218" s="13" t="str">
        <f aca="false">IFERROR(VALUE(TRIM(LEFT(RIGHT(M218,18),11))),"")</f>
        <v/>
      </c>
    </row>
    <row r="219" customFormat="false" ht="14.25" hidden="false" customHeight="true" outlineLevel="0" collapsed="false">
      <c r="A219" s="12" t="str">
        <f aca="false">IF(E219="","",E219)</f>
        <v/>
      </c>
      <c r="B219" s="12" t="str">
        <f aca="false">IF(J219="","",J219)</f>
        <v/>
      </c>
      <c r="C219" s="12" t="str">
        <f aca="false">IF(N219="","",N219)</f>
        <v/>
      </c>
      <c r="E219" s="13" t="str">
        <f aca="false">IFERROR(VALUE(TRIM(LEFT(RIGHT(D219,18),11))),"")</f>
        <v/>
      </c>
      <c r="J219" s="13" t="str">
        <f aca="false">IFERROR(VALUE(TRIM(LEFT(RIGHT(I219,18),11))),"")</f>
        <v/>
      </c>
      <c r="N219" s="13" t="str">
        <f aca="false">IFERROR(VALUE(TRIM(LEFT(RIGHT(M219,18),11))),"")</f>
        <v/>
      </c>
    </row>
    <row r="220" customFormat="false" ht="14.25" hidden="false" customHeight="true" outlineLevel="0" collapsed="false">
      <c r="A220" s="12" t="str">
        <f aca="false">IF(E220="","",E220)</f>
        <v/>
      </c>
      <c r="B220" s="12" t="str">
        <f aca="false">IF(J220="","",J220)</f>
        <v/>
      </c>
      <c r="C220" s="12" t="str">
        <f aca="false">IF(N220="","",N220)</f>
        <v/>
      </c>
      <c r="E220" s="13" t="str">
        <f aca="false">IFERROR(VALUE(TRIM(LEFT(RIGHT(D220,18),11))),"")</f>
        <v/>
      </c>
      <c r="J220" s="13" t="str">
        <f aca="false">IFERROR(VALUE(TRIM(LEFT(RIGHT(I220,18),11))),"")</f>
        <v/>
      </c>
      <c r="N220" s="13" t="str">
        <f aca="false">IFERROR(VALUE(TRIM(LEFT(RIGHT(M220,18),11))),"")</f>
        <v/>
      </c>
    </row>
    <row r="221" customFormat="false" ht="14.25" hidden="false" customHeight="true" outlineLevel="0" collapsed="false">
      <c r="A221" s="12" t="str">
        <f aca="false">IF(E221="","",E221)</f>
        <v/>
      </c>
      <c r="B221" s="12" t="str">
        <f aca="false">IF(J221="","",J221)</f>
        <v/>
      </c>
      <c r="C221" s="12" t="str">
        <f aca="false">IF(N221="","",N221)</f>
        <v/>
      </c>
      <c r="E221" s="13" t="str">
        <f aca="false">IFERROR(VALUE(TRIM(LEFT(RIGHT(D221,18),11))),"")</f>
        <v/>
      </c>
      <c r="J221" s="13" t="str">
        <f aca="false">IFERROR(VALUE(TRIM(LEFT(RIGHT(I221,18),11))),"")</f>
        <v/>
      </c>
      <c r="N221" s="13" t="str">
        <f aca="false">IFERROR(VALUE(TRIM(LEFT(RIGHT(M221,18),11))),"")</f>
        <v/>
      </c>
    </row>
    <row r="222" customFormat="false" ht="14.25" hidden="false" customHeight="true" outlineLevel="0" collapsed="false">
      <c r="A222" s="12" t="str">
        <f aca="false">IF(E222="","",E222)</f>
        <v/>
      </c>
      <c r="B222" s="12" t="str">
        <f aca="false">IF(J222="","",J222)</f>
        <v/>
      </c>
      <c r="C222" s="12" t="str">
        <f aca="false">IF(N222="","",N222)</f>
        <v/>
      </c>
      <c r="E222" s="13" t="str">
        <f aca="false">IFERROR(VALUE(TRIM(LEFT(RIGHT(D222,18),11))),"")</f>
        <v/>
      </c>
      <c r="J222" s="13" t="str">
        <f aca="false">IFERROR(VALUE(TRIM(LEFT(RIGHT(I222,18),11))),"")</f>
        <v/>
      </c>
      <c r="N222" s="13" t="str">
        <f aca="false">IFERROR(VALUE(TRIM(LEFT(RIGHT(M222,18),11))),"")</f>
        <v/>
      </c>
    </row>
    <row r="223" customFormat="false" ht="14.25" hidden="false" customHeight="true" outlineLevel="0" collapsed="false">
      <c r="A223" s="12" t="str">
        <f aca="false">IF(E223="","",E223)</f>
        <v/>
      </c>
      <c r="B223" s="12" t="str">
        <f aca="false">IF(J223="","",J223)</f>
        <v/>
      </c>
      <c r="C223" s="12" t="str">
        <f aca="false">IF(N223="","",N223)</f>
        <v/>
      </c>
      <c r="E223" s="13" t="str">
        <f aca="false">IFERROR(VALUE(TRIM(LEFT(RIGHT(D223,18),11))),"")</f>
        <v/>
      </c>
      <c r="J223" s="13" t="str">
        <f aca="false">IFERROR(VALUE(TRIM(LEFT(RIGHT(I223,18),11))),"")</f>
        <v/>
      </c>
      <c r="N223" s="13" t="str">
        <f aca="false">IFERROR(VALUE(TRIM(LEFT(RIGHT(M223,18),11))),"")</f>
        <v/>
      </c>
    </row>
    <row r="224" customFormat="false" ht="14.25" hidden="false" customHeight="true" outlineLevel="0" collapsed="false">
      <c r="A224" s="12" t="str">
        <f aca="false">IF(E224="","",E224)</f>
        <v/>
      </c>
      <c r="B224" s="12" t="str">
        <f aca="false">IF(J224="","",J224)</f>
        <v/>
      </c>
      <c r="C224" s="12" t="str">
        <f aca="false">IF(N224="","",N224)</f>
        <v/>
      </c>
      <c r="E224" s="13" t="str">
        <f aca="false">IFERROR(VALUE(TRIM(LEFT(RIGHT(D224,18),11))),"")</f>
        <v/>
      </c>
      <c r="J224" s="13" t="str">
        <f aca="false">IFERROR(VALUE(TRIM(LEFT(RIGHT(I224,18),11))),"")</f>
        <v/>
      </c>
      <c r="N224" s="13" t="str">
        <f aca="false">IFERROR(VALUE(TRIM(LEFT(RIGHT(M224,18),11))),"")</f>
        <v/>
      </c>
    </row>
    <row r="225" customFormat="false" ht="14.25" hidden="false" customHeight="true" outlineLevel="0" collapsed="false">
      <c r="A225" s="12" t="str">
        <f aca="false">IF(E225="","",E225)</f>
        <v/>
      </c>
      <c r="B225" s="12" t="str">
        <f aca="false">IF(J225="","",J225)</f>
        <v/>
      </c>
      <c r="C225" s="12" t="str">
        <f aca="false">IF(N225="","",N225)</f>
        <v/>
      </c>
      <c r="E225" s="13" t="str">
        <f aca="false">IFERROR(VALUE(TRIM(LEFT(RIGHT(D225,18),11))),"")</f>
        <v/>
      </c>
      <c r="J225" s="13" t="str">
        <f aca="false">IFERROR(VALUE(TRIM(LEFT(RIGHT(I225,18),11))),"")</f>
        <v/>
      </c>
      <c r="N225" s="13" t="str">
        <f aca="false">IFERROR(VALUE(TRIM(LEFT(RIGHT(M225,18),11))),"")</f>
        <v/>
      </c>
    </row>
    <row r="226" customFormat="false" ht="14.25" hidden="false" customHeight="true" outlineLevel="0" collapsed="false">
      <c r="A226" s="12" t="str">
        <f aca="false">IF(E226="","",E226)</f>
        <v/>
      </c>
      <c r="B226" s="12" t="str">
        <f aca="false">IF(J226="","",J226)</f>
        <v/>
      </c>
      <c r="C226" s="12" t="str">
        <f aca="false">IF(N226="","",N226)</f>
        <v/>
      </c>
      <c r="E226" s="13" t="str">
        <f aca="false">IFERROR(VALUE(TRIM(LEFT(RIGHT(D226,18),11))),"")</f>
        <v/>
      </c>
      <c r="J226" s="13" t="str">
        <f aca="false">IFERROR(VALUE(TRIM(LEFT(RIGHT(I226,18),11))),"")</f>
        <v/>
      </c>
      <c r="N226" s="13" t="str">
        <f aca="false">IFERROR(VALUE(TRIM(LEFT(RIGHT(M226,18),11))),"")</f>
        <v/>
      </c>
    </row>
    <row r="227" customFormat="false" ht="14.25" hidden="false" customHeight="true" outlineLevel="0" collapsed="false">
      <c r="A227" s="12" t="str">
        <f aca="false">IF(E227="","",E227)</f>
        <v/>
      </c>
      <c r="B227" s="12" t="str">
        <f aca="false">IF(J227="","",J227)</f>
        <v/>
      </c>
      <c r="C227" s="12" t="str">
        <f aca="false">IF(N227="","",N227)</f>
        <v/>
      </c>
      <c r="E227" s="13" t="str">
        <f aca="false">IFERROR(VALUE(TRIM(LEFT(RIGHT(D227,18),11))),"")</f>
        <v/>
      </c>
      <c r="J227" s="13" t="str">
        <f aca="false">IFERROR(VALUE(TRIM(LEFT(RIGHT(I227,18),11))),"")</f>
        <v/>
      </c>
      <c r="N227" s="13" t="str">
        <f aca="false">IFERROR(VALUE(TRIM(LEFT(RIGHT(M227,18),11))),"")</f>
        <v/>
      </c>
    </row>
    <row r="228" customFormat="false" ht="14.25" hidden="false" customHeight="true" outlineLevel="0" collapsed="false">
      <c r="A228" s="12" t="str">
        <f aca="false">IF(E228="","",E228)</f>
        <v/>
      </c>
      <c r="B228" s="12" t="str">
        <f aca="false">IF(J228="","",J228)</f>
        <v/>
      </c>
      <c r="C228" s="12" t="str">
        <f aca="false">IF(N228="","",N228)</f>
        <v/>
      </c>
      <c r="E228" s="13" t="str">
        <f aca="false">IFERROR(VALUE(TRIM(LEFT(RIGHT(D228,18),11))),"")</f>
        <v/>
      </c>
      <c r="J228" s="13" t="str">
        <f aca="false">IFERROR(VALUE(TRIM(LEFT(RIGHT(I228,18),11))),"")</f>
        <v/>
      </c>
      <c r="N228" s="13" t="str">
        <f aca="false">IFERROR(VALUE(TRIM(LEFT(RIGHT(M228,18),11))),"")</f>
        <v/>
      </c>
    </row>
    <row r="229" customFormat="false" ht="14.25" hidden="false" customHeight="true" outlineLevel="0" collapsed="false">
      <c r="A229" s="12" t="str">
        <f aca="false">IF(E229="","",E229)</f>
        <v/>
      </c>
      <c r="B229" s="12" t="str">
        <f aca="false">IF(J229="","",J229)</f>
        <v/>
      </c>
      <c r="C229" s="12" t="str">
        <f aca="false">IF(N229="","",N229)</f>
        <v/>
      </c>
      <c r="E229" s="13" t="str">
        <f aca="false">IFERROR(VALUE(TRIM(LEFT(RIGHT(D229,18),11))),"")</f>
        <v/>
      </c>
      <c r="J229" s="13" t="str">
        <f aca="false">IFERROR(VALUE(TRIM(LEFT(RIGHT(I229,18),11))),"")</f>
        <v/>
      </c>
      <c r="N229" s="13" t="str">
        <f aca="false">IFERROR(VALUE(TRIM(LEFT(RIGHT(M229,18),11))),"")</f>
        <v/>
      </c>
    </row>
    <row r="230" customFormat="false" ht="14.25" hidden="false" customHeight="true" outlineLevel="0" collapsed="false">
      <c r="A230" s="12" t="str">
        <f aca="false">IF(E230="","",E230)</f>
        <v/>
      </c>
      <c r="B230" s="12" t="str">
        <f aca="false">IF(J230="","",J230)</f>
        <v/>
      </c>
      <c r="C230" s="12" t="str">
        <f aca="false">IF(N230="","",N230)</f>
        <v/>
      </c>
      <c r="E230" s="13" t="str">
        <f aca="false">IFERROR(VALUE(TRIM(LEFT(RIGHT(D230,18),11))),"")</f>
        <v/>
      </c>
      <c r="J230" s="13" t="str">
        <f aca="false">IFERROR(VALUE(TRIM(LEFT(RIGHT(I230,18),11))),"")</f>
        <v/>
      </c>
      <c r="N230" s="13" t="str">
        <f aca="false">IFERROR(VALUE(TRIM(LEFT(RIGHT(M230,18),11))),"")</f>
        <v/>
      </c>
    </row>
    <row r="231" customFormat="false" ht="14.25" hidden="false" customHeight="true" outlineLevel="0" collapsed="false">
      <c r="A231" s="12" t="str">
        <f aca="false">IF(E231="","",E231)</f>
        <v/>
      </c>
      <c r="B231" s="12" t="str">
        <f aca="false">IF(J231="","",J231)</f>
        <v/>
      </c>
      <c r="C231" s="12" t="str">
        <f aca="false">IF(N231="","",N231)</f>
        <v/>
      </c>
      <c r="E231" s="13" t="str">
        <f aca="false">IFERROR(VALUE(TRIM(LEFT(RIGHT(D231,18),11))),"")</f>
        <v/>
      </c>
      <c r="J231" s="13" t="str">
        <f aca="false">IFERROR(VALUE(TRIM(LEFT(RIGHT(I231,18),11))),"")</f>
        <v/>
      </c>
      <c r="N231" s="13" t="str">
        <f aca="false">IFERROR(VALUE(TRIM(LEFT(RIGHT(M231,18),11))),"")</f>
        <v/>
      </c>
    </row>
    <row r="232" customFormat="false" ht="14.25" hidden="false" customHeight="true" outlineLevel="0" collapsed="false">
      <c r="A232" s="12" t="str">
        <f aca="false">IF(E232="","",E232)</f>
        <v/>
      </c>
      <c r="B232" s="12" t="str">
        <f aca="false">IF(J232="","",J232)</f>
        <v/>
      </c>
      <c r="C232" s="12" t="str">
        <f aca="false">IF(N232="","",N232)</f>
        <v/>
      </c>
      <c r="E232" s="13" t="str">
        <f aca="false">IFERROR(VALUE(TRIM(LEFT(RIGHT(D232,18),11))),"")</f>
        <v/>
      </c>
      <c r="J232" s="13" t="str">
        <f aca="false">IFERROR(VALUE(TRIM(LEFT(RIGHT(I232,18),11))),"")</f>
        <v/>
      </c>
      <c r="N232" s="13" t="str">
        <f aca="false">IFERROR(VALUE(TRIM(LEFT(RIGHT(M232,18),11))),"")</f>
        <v/>
      </c>
    </row>
    <row r="233" customFormat="false" ht="14.25" hidden="false" customHeight="true" outlineLevel="0" collapsed="false">
      <c r="A233" s="12" t="str">
        <f aca="false">IF(E233="","",E233)</f>
        <v/>
      </c>
      <c r="B233" s="12" t="str">
        <f aca="false">IF(J233="","",J233)</f>
        <v/>
      </c>
      <c r="C233" s="12" t="str">
        <f aca="false">IF(N233="","",N233)</f>
        <v/>
      </c>
      <c r="E233" s="13" t="str">
        <f aca="false">IFERROR(VALUE(TRIM(LEFT(RIGHT(D233,18),11))),"")</f>
        <v/>
      </c>
      <c r="J233" s="13" t="str">
        <f aca="false">IFERROR(VALUE(TRIM(LEFT(RIGHT(I233,18),11))),"")</f>
        <v/>
      </c>
      <c r="N233" s="13" t="str">
        <f aca="false">IFERROR(VALUE(TRIM(LEFT(RIGHT(M233,18),11))),"")</f>
        <v/>
      </c>
    </row>
    <row r="234" customFormat="false" ht="14.25" hidden="false" customHeight="true" outlineLevel="0" collapsed="false">
      <c r="A234" s="12" t="str">
        <f aca="false">IF(E234="","",E234)</f>
        <v/>
      </c>
      <c r="B234" s="12" t="str">
        <f aca="false">IF(J234="","",J234)</f>
        <v/>
      </c>
      <c r="C234" s="12" t="str">
        <f aca="false">IF(N234="","",N234)</f>
        <v/>
      </c>
      <c r="E234" s="13" t="str">
        <f aca="false">IFERROR(VALUE(TRIM(LEFT(RIGHT(D234,18),11))),"")</f>
        <v/>
      </c>
      <c r="J234" s="13" t="str">
        <f aca="false">IFERROR(VALUE(TRIM(LEFT(RIGHT(I234,18),11))),"")</f>
        <v/>
      </c>
      <c r="N234" s="13" t="str">
        <f aca="false">IFERROR(VALUE(TRIM(LEFT(RIGHT(M234,18),11))),"")</f>
        <v/>
      </c>
    </row>
    <row r="235" customFormat="false" ht="14.25" hidden="false" customHeight="true" outlineLevel="0" collapsed="false">
      <c r="A235" s="12" t="str">
        <f aca="false">IF(E235="","",E235)</f>
        <v/>
      </c>
      <c r="B235" s="12" t="str">
        <f aca="false">IF(J235="","",J235)</f>
        <v/>
      </c>
      <c r="C235" s="12" t="str">
        <f aca="false">IF(N235="","",N235)</f>
        <v/>
      </c>
      <c r="E235" s="13" t="str">
        <f aca="false">IFERROR(VALUE(TRIM(LEFT(RIGHT(D235,18),11))),"")</f>
        <v/>
      </c>
      <c r="J235" s="13" t="str">
        <f aca="false">IFERROR(VALUE(TRIM(LEFT(RIGHT(I235,18),11))),"")</f>
        <v/>
      </c>
      <c r="N235" s="13" t="str">
        <f aca="false">IFERROR(VALUE(TRIM(LEFT(RIGHT(M235,18),11))),"")</f>
        <v/>
      </c>
    </row>
    <row r="236" customFormat="false" ht="14.25" hidden="false" customHeight="true" outlineLevel="0" collapsed="false">
      <c r="A236" s="12" t="str">
        <f aca="false">IF(E236="","",E236)</f>
        <v/>
      </c>
      <c r="B236" s="12" t="str">
        <f aca="false">IF(J236="","",J236)</f>
        <v/>
      </c>
      <c r="C236" s="12" t="str">
        <f aca="false">IF(N236="","",N236)</f>
        <v/>
      </c>
      <c r="E236" s="13" t="str">
        <f aca="false">IFERROR(VALUE(TRIM(LEFT(RIGHT(D236,18),11))),"")</f>
        <v/>
      </c>
      <c r="J236" s="13" t="str">
        <f aca="false">IFERROR(VALUE(TRIM(LEFT(RIGHT(I236,18),11))),"")</f>
        <v/>
      </c>
      <c r="N236" s="13" t="str">
        <f aca="false">IFERROR(VALUE(TRIM(LEFT(RIGHT(M236,18),11))),"")</f>
        <v/>
      </c>
    </row>
    <row r="237" customFormat="false" ht="14.25" hidden="false" customHeight="true" outlineLevel="0" collapsed="false">
      <c r="A237" s="12" t="str">
        <f aca="false">IF(E237="","",E237)</f>
        <v/>
      </c>
      <c r="B237" s="12" t="str">
        <f aca="false">IF(J237="","",J237)</f>
        <v/>
      </c>
      <c r="C237" s="12" t="str">
        <f aca="false">IF(N237="","",N237)</f>
        <v/>
      </c>
      <c r="E237" s="13" t="str">
        <f aca="false">IFERROR(VALUE(TRIM(LEFT(RIGHT(D237,18),11))),"")</f>
        <v/>
      </c>
      <c r="J237" s="13" t="str">
        <f aca="false">IFERROR(VALUE(TRIM(LEFT(RIGHT(I237,18),11))),"")</f>
        <v/>
      </c>
      <c r="N237" s="13" t="str">
        <f aca="false">IFERROR(VALUE(TRIM(LEFT(RIGHT(M237,18),11))),"")</f>
        <v/>
      </c>
    </row>
    <row r="238" customFormat="false" ht="14.25" hidden="false" customHeight="true" outlineLevel="0" collapsed="false">
      <c r="A238" s="12" t="str">
        <f aca="false">IF(E238="","",E238)</f>
        <v/>
      </c>
      <c r="B238" s="12" t="str">
        <f aca="false">IF(J238="","",J238)</f>
        <v/>
      </c>
      <c r="C238" s="12" t="str">
        <f aca="false">IF(N238="","",N238)</f>
        <v/>
      </c>
      <c r="E238" s="13" t="str">
        <f aca="false">IFERROR(VALUE(TRIM(LEFT(RIGHT(D238,18),11))),"")</f>
        <v/>
      </c>
      <c r="J238" s="13" t="str">
        <f aca="false">IFERROR(VALUE(TRIM(LEFT(RIGHT(I238,18),11))),"")</f>
        <v/>
      </c>
      <c r="N238" s="13" t="str">
        <f aca="false">IFERROR(VALUE(TRIM(LEFT(RIGHT(M238,18),11))),"")</f>
        <v/>
      </c>
    </row>
    <row r="239" customFormat="false" ht="14.25" hidden="false" customHeight="true" outlineLevel="0" collapsed="false">
      <c r="A239" s="12" t="str">
        <f aca="false">IF(E239="","",E239)</f>
        <v/>
      </c>
      <c r="B239" s="12" t="str">
        <f aca="false">IF(J239="","",J239)</f>
        <v/>
      </c>
      <c r="C239" s="12" t="str">
        <f aca="false">IF(N239="","",N239)</f>
        <v/>
      </c>
      <c r="E239" s="13" t="str">
        <f aca="false">IFERROR(VALUE(TRIM(LEFT(RIGHT(D239,18),11))),"")</f>
        <v/>
      </c>
      <c r="J239" s="13" t="str">
        <f aca="false">IFERROR(VALUE(TRIM(LEFT(RIGHT(I239,18),11))),"")</f>
        <v/>
      </c>
      <c r="N239" s="13" t="str">
        <f aca="false">IFERROR(VALUE(TRIM(LEFT(RIGHT(M239,18),11))),"")</f>
        <v/>
      </c>
    </row>
    <row r="240" customFormat="false" ht="14.25" hidden="false" customHeight="true" outlineLevel="0" collapsed="false">
      <c r="A240" s="12" t="str">
        <f aca="false">IF(E240="","",E240)</f>
        <v/>
      </c>
      <c r="B240" s="12" t="str">
        <f aca="false">IF(J240="","",J240)</f>
        <v/>
      </c>
      <c r="C240" s="12" t="str">
        <f aca="false">IF(N240="","",N240)</f>
        <v/>
      </c>
      <c r="E240" s="13" t="str">
        <f aca="false">IFERROR(VALUE(TRIM(LEFT(RIGHT(D240,18),11))),"")</f>
        <v/>
      </c>
      <c r="J240" s="13" t="str">
        <f aca="false">IFERROR(VALUE(TRIM(LEFT(RIGHT(I240,18),11))),"")</f>
        <v/>
      </c>
      <c r="N240" s="13" t="str">
        <f aca="false">IFERROR(VALUE(TRIM(LEFT(RIGHT(M240,18),11))),"")</f>
        <v/>
      </c>
    </row>
    <row r="241" customFormat="false" ht="14.25" hidden="false" customHeight="true" outlineLevel="0" collapsed="false">
      <c r="A241" s="12" t="str">
        <f aca="false">IF(E241="","",E241)</f>
        <v/>
      </c>
      <c r="B241" s="12" t="str">
        <f aca="false">IF(J241="","",J241)</f>
        <v/>
      </c>
      <c r="C241" s="12" t="str">
        <f aca="false">IF(N241="","",N241)</f>
        <v/>
      </c>
      <c r="E241" s="13" t="str">
        <f aca="false">IFERROR(VALUE(TRIM(LEFT(RIGHT(D241,18),11))),"")</f>
        <v/>
      </c>
      <c r="J241" s="13" t="str">
        <f aca="false">IFERROR(VALUE(TRIM(LEFT(RIGHT(I241,18),11))),"")</f>
        <v/>
      </c>
      <c r="N241" s="13" t="str">
        <f aca="false">IFERROR(VALUE(TRIM(LEFT(RIGHT(M241,18),11))),"")</f>
        <v/>
      </c>
    </row>
    <row r="242" customFormat="false" ht="14.25" hidden="false" customHeight="true" outlineLevel="0" collapsed="false">
      <c r="A242" s="12" t="str">
        <f aca="false">IF(E242="","",E242)</f>
        <v/>
      </c>
      <c r="B242" s="12" t="str">
        <f aca="false">IF(J242="","",J242)</f>
        <v/>
      </c>
      <c r="C242" s="12" t="str">
        <f aca="false">IF(N242="","",N242)</f>
        <v/>
      </c>
      <c r="E242" s="13" t="str">
        <f aca="false">IFERROR(VALUE(TRIM(LEFT(RIGHT(D242,18),11))),"")</f>
        <v/>
      </c>
      <c r="J242" s="13" t="str">
        <f aca="false">IFERROR(VALUE(TRIM(LEFT(RIGHT(I242,18),11))),"")</f>
        <v/>
      </c>
      <c r="N242" s="13" t="str">
        <f aca="false">IFERROR(VALUE(TRIM(LEFT(RIGHT(M242,18),11))),"")</f>
        <v/>
      </c>
    </row>
    <row r="243" customFormat="false" ht="14.25" hidden="false" customHeight="true" outlineLevel="0" collapsed="false">
      <c r="A243" s="12" t="str">
        <f aca="false">IF(E243="","",E243)</f>
        <v/>
      </c>
      <c r="B243" s="12" t="str">
        <f aca="false">IF(J243="","",J243)</f>
        <v/>
      </c>
      <c r="C243" s="12" t="str">
        <f aca="false">IF(N243="","",N243)</f>
        <v/>
      </c>
      <c r="E243" s="13" t="str">
        <f aca="false">IFERROR(VALUE(TRIM(LEFT(RIGHT(D243,18),11))),"")</f>
        <v/>
      </c>
      <c r="J243" s="13" t="str">
        <f aca="false">IFERROR(VALUE(TRIM(LEFT(RIGHT(I243,18),11))),"")</f>
        <v/>
      </c>
      <c r="N243" s="13" t="str">
        <f aca="false">IFERROR(VALUE(TRIM(LEFT(RIGHT(M243,18),11))),"")</f>
        <v/>
      </c>
    </row>
    <row r="244" customFormat="false" ht="14.25" hidden="false" customHeight="true" outlineLevel="0" collapsed="false">
      <c r="A244" s="12" t="str">
        <f aca="false">IF(E244="","",E244)</f>
        <v/>
      </c>
      <c r="B244" s="12" t="str">
        <f aca="false">IF(J244="","",J244)</f>
        <v/>
      </c>
      <c r="C244" s="12" t="str">
        <f aca="false">IF(N244="","",N244)</f>
        <v/>
      </c>
      <c r="E244" s="13" t="str">
        <f aca="false">IFERROR(VALUE(TRIM(LEFT(RIGHT(D244,18),11))),"")</f>
        <v/>
      </c>
      <c r="J244" s="13" t="str">
        <f aca="false">IFERROR(VALUE(TRIM(LEFT(RIGHT(I244,18),11))),"")</f>
        <v/>
      </c>
      <c r="N244" s="13" t="str">
        <f aca="false">IFERROR(VALUE(TRIM(LEFT(RIGHT(M244,18),11))),"")</f>
        <v/>
      </c>
    </row>
    <row r="245" customFormat="false" ht="14.25" hidden="false" customHeight="true" outlineLevel="0" collapsed="false">
      <c r="A245" s="12" t="str">
        <f aca="false">IF(E245="","",E245)</f>
        <v/>
      </c>
      <c r="B245" s="12" t="str">
        <f aca="false">IF(J245="","",J245)</f>
        <v/>
      </c>
      <c r="C245" s="12" t="str">
        <f aca="false">IF(N245="","",N245)</f>
        <v/>
      </c>
      <c r="E245" s="13" t="str">
        <f aca="false">IFERROR(VALUE(TRIM(LEFT(RIGHT(D245,18),11))),"")</f>
        <v/>
      </c>
      <c r="J245" s="13" t="str">
        <f aca="false">IFERROR(VALUE(TRIM(LEFT(RIGHT(I245,18),11))),"")</f>
        <v/>
      </c>
      <c r="N245" s="13" t="str">
        <f aca="false">IFERROR(VALUE(TRIM(LEFT(RIGHT(M245,18),11))),"")</f>
        <v/>
      </c>
    </row>
    <row r="246" customFormat="false" ht="14.25" hidden="false" customHeight="true" outlineLevel="0" collapsed="false">
      <c r="A246" s="12" t="str">
        <f aca="false">IF(E246="","",E246)</f>
        <v/>
      </c>
      <c r="B246" s="12" t="str">
        <f aca="false">IF(J246="","",J246)</f>
        <v/>
      </c>
      <c r="C246" s="12" t="str">
        <f aca="false">IF(N246="","",N246)</f>
        <v/>
      </c>
      <c r="E246" s="13" t="str">
        <f aca="false">IFERROR(VALUE(TRIM(LEFT(RIGHT(D246,18),11))),"")</f>
        <v/>
      </c>
      <c r="J246" s="13" t="str">
        <f aca="false">IFERROR(VALUE(TRIM(LEFT(RIGHT(I246,18),11))),"")</f>
        <v/>
      </c>
      <c r="N246" s="13" t="str">
        <f aca="false">IFERROR(VALUE(TRIM(LEFT(RIGHT(M246,18),11))),"")</f>
        <v/>
      </c>
    </row>
    <row r="247" customFormat="false" ht="14.25" hidden="false" customHeight="true" outlineLevel="0" collapsed="false">
      <c r="A247" s="12" t="str">
        <f aca="false">IF(E247="","",E247)</f>
        <v/>
      </c>
      <c r="B247" s="12" t="str">
        <f aca="false">IF(J247="","",J247)</f>
        <v/>
      </c>
      <c r="C247" s="12" t="str">
        <f aca="false">IF(N247="","",N247)</f>
        <v/>
      </c>
      <c r="E247" s="13" t="str">
        <f aca="false">IFERROR(VALUE(TRIM(LEFT(RIGHT(D247,18),11))),"")</f>
        <v/>
      </c>
      <c r="J247" s="13" t="str">
        <f aca="false">IFERROR(VALUE(TRIM(LEFT(RIGHT(I247,18),11))),"")</f>
        <v/>
      </c>
      <c r="N247" s="13" t="str">
        <f aca="false">IFERROR(VALUE(TRIM(LEFT(RIGHT(M247,18),11))),"")</f>
        <v/>
      </c>
    </row>
    <row r="248" customFormat="false" ht="14.25" hidden="false" customHeight="true" outlineLevel="0" collapsed="false">
      <c r="A248" s="12" t="str">
        <f aca="false">IF(E248="","",E248)</f>
        <v/>
      </c>
      <c r="B248" s="12" t="str">
        <f aca="false">IF(J248="","",J248)</f>
        <v/>
      </c>
      <c r="C248" s="12" t="str">
        <f aca="false">IF(N248="","",N248)</f>
        <v/>
      </c>
      <c r="E248" s="13" t="str">
        <f aca="false">IFERROR(VALUE(TRIM(LEFT(RIGHT(D248,18),11))),"")</f>
        <v/>
      </c>
      <c r="J248" s="13" t="str">
        <f aca="false">IFERROR(VALUE(TRIM(LEFT(RIGHT(I248,18),11))),"")</f>
        <v/>
      </c>
      <c r="N248" s="13" t="str">
        <f aca="false">IFERROR(VALUE(TRIM(LEFT(RIGHT(M248,18),11))),"")</f>
        <v/>
      </c>
    </row>
    <row r="249" customFormat="false" ht="14.25" hidden="false" customHeight="true" outlineLevel="0" collapsed="false">
      <c r="A249" s="12" t="str">
        <f aca="false">IF(E249="","",E249)</f>
        <v/>
      </c>
      <c r="B249" s="12" t="str">
        <f aca="false">IF(J249="","",J249)</f>
        <v/>
      </c>
      <c r="C249" s="12" t="str">
        <f aca="false">IF(N249="","",N249)</f>
        <v/>
      </c>
      <c r="E249" s="13" t="str">
        <f aca="false">IFERROR(VALUE(TRIM(LEFT(RIGHT(D249,18),11))),"")</f>
        <v/>
      </c>
      <c r="J249" s="13" t="str">
        <f aca="false">IFERROR(VALUE(TRIM(LEFT(RIGHT(I249,18),11))),"")</f>
        <v/>
      </c>
      <c r="N249" s="13" t="str">
        <f aca="false">IFERROR(VALUE(TRIM(LEFT(RIGHT(M249,18),11))),"")</f>
        <v/>
      </c>
    </row>
    <row r="250" customFormat="false" ht="14.25" hidden="false" customHeight="true" outlineLevel="0" collapsed="false">
      <c r="A250" s="12" t="str">
        <f aca="false">IF(E250="","",E250)</f>
        <v/>
      </c>
      <c r="B250" s="12" t="str">
        <f aca="false">IF(J250="","",J250)</f>
        <v/>
      </c>
      <c r="C250" s="12" t="str">
        <f aca="false">IF(N250="","",N250)</f>
        <v/>
      </c>
      <c r="E250" s="13" t="str">
        <f aca="false">IFERROR(VALUE(TRIM(LEFT(RIGHT(D250,18),11))),"")</f>
        <v/>
      </c>
      <c r="J250" s="13" t="str">
        <f aca="false">IFERROR(VALUE(TRIM(LEFT(RIGHT(I250,18),11))),"")</f>
        <v/>
      </c>
      <c r="N250" s="13" t="str">
        <f aca="false">IFERROR(VALUE(TRIM(LEFT(RIGHT(M250,18),11))),"")</f>
        <v/>
      </c>
    </row>
    <row r="251" customFormat="false" ht="14.25" hidden="false" customHeight="true" outlineLevel="0" collapsed="false">
      <c r="A251" s="12" t="str">
        <f aca="false">IF(E251="","",E251)</f>
        <v/>
      </c>
      <c r="B251" s="12" t="str">
        <f aca="false">IF(J251="","",J251)</f>
        <v/>
      </c>
      <c r="C251" s="12" t="str">
        <f aca="false">IF(N251="","",N251)</f>
        <v/>
      </c>
      <c r="E251" s="13" t="str">
        <f aca="false">IFERROR(VALUE(TRIM(LEFT(RIGHT(D251,18),11))),"")</f>
        <v/>
      </c>
      <c r="J251" s="13" t="str">
        <f aca="false">IFERROR(VALUE(TRIM(LEFT(RIGHT(I251,18),11))),"")</f>
        <v/>
      </c>
      <c r="N251" s="13" t="str">
        <f aca="false">IFERROR(VALUE(TRIM(LEFT(RIGHT(M251,18),11))),"")</f>
        <v/>
      </c>
    </row>
    <row r="252" customFormat="false" ht="14.25" hidden="false" customHeight="true" outlineLevel="0" collapsed="false">
      <c r="A252" s="12" t="str">
        <f aca="false">IF(E252="","",E252)</f>
        <v/>
      </c>
      <c r="B252" s="12" t="str">
        <f aca="false">IF(J252="","",J252)</f>
        <v/>
      </c>
      <c r="C252" s="12" t="str">
        <f aca="false">IF(N252="","",N252)</f>
        <v/>
      </c>
      <c r="E252" s="13" t="str">
        <f aca="false">IFERROR(VALUE(TRIM(LEFT(RIGHT(D252,18),11))),"")</f>
        <v/>
      </c>
      <c r="J252" s="13" t="str">
        <f aca="false">IFERROR(VALUE(TRIM(LEFT(RIGHT(I252,18),11))),"")</f>
        <v/>
      </c>
      <c r="N252" s="13" t="str">
        <f aca="false">IFERROR(VALUE(TRIM(LEFT(RIGHT(M252,18),11))),"")</f>
        <v/>
      </c>
    </row>
    <row r="253" customFormat="false" ht="14.25" hidden="false" customHeight="true" outlineLevel="0" collapsed="false">
      <c r="A253" s="12" t="str">
        <f aca="false">IF(E253="","",E253)</f>
        <v/>
      </c>
      <c r="B253" s="12" t="str">
        <f aca="false">IF(J253="","",J253)</f>
        <v/>
      </c>
      <c r="C253" s="12" t="str">
        <f aca="false">IF(N253="","",N253)</f>
        <v/>
      </c>
      <c r="E253" s="13" t="str">
        <f aca="false">IFERROR(VALUE(TRIM(LEFT(RIGHT(D253,18),11))),"")</f>
        <v/>
      </c>
      <c r="J253" s="13" t="str">
        <f aca="false">IFERROR(VALUE(TRIM(LEFT(RIGHT(I253,18),11))),"")</f>
        <v/>
      </c>
      <c r="N253" s="13" t="str">
        <f aca="false">IFERROR(VALUE(TRIM(LEFT(RIGHT(M253,18),11))),"")</f>
        <v/>
      </c>
    </row>
    <row r="254" customFormat="false" ht="14.25" hidden="false" customHeight="true" outlineLevel="0" collapsed="false">
      <c r="A254" s="12" t="str">
        <f aca="false">IF(E254="","",E254)</f>
        <v/>
      </c>
      <c r="B254" s="12" t="str">
        <f aca="false">IF(J254="","",J254)</f>
        <v/>
      </c>
      <c r="C254" s="12" t="str">
        <f aca="false">IF(N254="","",N254)</f>
        <v/>
      </c>
      <c r="E254" s="13" t="str">
        <f aca="false">IFERROR(VALUE(TRIM(LEFT(RIGHT(D254,18),11))),"")</f>
        <v/>
      </c>
      <c r="J254" s="13" t="str">
        <f aca="false">IFERROR(VALUE(TRIM(LEFT(RIGHT(I254,18),11))),"")</f>
        <v/>
      </c>
      <c r="N254" s="13" t="str">
        <f aca="false">IFERROR(VALUE(TRIM(LEFT(RIGHT(M254,18),11))),"")</f>
        <v/>
      </c>
    </row>
    <row r="255" customFormat="false" ht="14.25" hidden="false" customHeight="true" outlineLevel="0" collapsed="false">
      <c r="A255" s="12" t="str">
        <f aca="false">IF(E255="","",E255)</f>
        <v/>
      </c>
      <c r="B255" s="12" t="str">
        <f aca="false">IF(J255="","",J255)</f>
        <v/>
      </c>
      <c r="C255" s="12" t="str">
        <f aca="false">IF(N255="","",N255)</f>
        <v/>
      </c>
      <c r="E255" s="13" t="str">
        <f aca="false">IFERROR(VALUE(TRIM(LEFT(RIGHT(D255,18),11))),"")</f>
        <v/>
      </c>
      <c r="J255" s="13" t="str">
        <f aca="false">IFERROR(VALUE(TRIM(LEFT(RIGHT(I255,18),11))),"")</f>
        <v/>
      </c>
      <c r="N255" s="13" t="str">
        <f aca="false">IFERROR(VALUE(TRIM(LEFT(RIGHT(M255,18),11))),"")</f>
        <v/>
      </c>
    </row>
    <row r="256" customFormat="false" ht="14.25" hidden="false" customHeight="true" outlineLevel="0" collapsed="false">
      <c r="A256" s="12" t="str">
        <f aca="false">IF(E256="","",E256)</f>
        <v/>
      </c>
      <c r="B256" s="12" t="str">
        <f aca="false">IF(J256="","",J256)</f>
        <v/>
      </c>
      <c r="C256" s="12" t="str">
        <f aca="false">IF(N256="","",N256)</f>
        <v/>
      </c>
      <c r="E256" s="13" t="str">
        <f aca="false">IFERROR(VALUE(TRIM(LEFT(RIGHT(D256,18),11))),"")</f>
        <v/>
      </c>
      <c r="J256" s="13" t="str">
        <f aca="false">IFERROR(VALUE(TRIM(LEFT(RIGHT(I256,18),11))),"")</f>
        <v/>
      </c>
      <c r="N256" s="13" t="str">
        <f aca="false">IFERROR(VALUE(TRIM(LEFT(RIGHT(M256,18),11))),"")</f>
        <v/>
      </c>
    </row>
    <row r="257" customFormat="false" ht="14.25" hidden="false" customHeight="true" outlineLevel="0" collapsed="false">
      <c r="A257" s="12" t="str">
        <f aca="false">IF(E257="","",E257)</f>
        <v/>
      </c>
      <c r="B257" s="12" t="str">
        <f aca="false">IF(J257="","",J257)</f>
        <v/>
      </c>
      <c r="C257" s="12" t="str">
        <f aca="false">IF(N257="","",N257)</f>
        <v/>
      </c>
      <c r="E257" s="13" t="str">
        <f aca="false">IFERROR(VALUE(TRIM(LEFT(RIGHT(D257,18),11))),"")</f>
        <v/>
      </c>
      <c r="J257" s="13" t="str">
        <f aca="false">IFERROR(VALUE(TRIM(LEFT(RIGHT(I257,18),11))),"")</f>
        <v/>
      </c>
      <c r="N257" s="13" t="str">
        <f aca="false">IFERROR(VALUE(TRIM(LEFT(RIGHT(M257,18),11))),"")</f>
        <v/>
      </c>
    </row>
    <row r="258" customFormat="false" ht="14.25" hidden="false" customHeight="true" outlineLevel="0" collapsed="false">
      <c r="A258" s="12" t="str">
        <f aca="false">IF(E258="","",E258)</f>
        <v/>
      </c>
      <c r="B258" s="12" t="str">
        <f aca="false">IF(J258="","",J258)</f>
        <v/>
      </c>
      <c r="C258" s="12" t="str">
        <f aca="false">IF(N258="","",N258)</f>
        <v/>
      </c>
      <c r="E258" s="13" t="str">
        <f aca="false">IFERROR(VALUE(TRIM(LEFT(RIGHT(D258,18),11))),"")</f>
        <v/>
      </c>
      <c r="J258" s="13" t="str">
        <f aca="false">IFERROR(VALUE(TRIM(LEFT(RIGHT(I258,18),11))),"")</f>
        <v/>
      </c>
      <c r="N258" s="13" t="str">
        <f aca="false">IFERROR(VALUE(TRIM(LEFT(RIGHT(M258,18),11))),"")</f>
        <v/>
      </c>
    </row>
    <row r="259" customFormat="false" ht="14.25" hidden="false" customHeight="true" outlineLevel="0" collapsed="false">
      <c r="A259" s="12" t="str">
        <f aca="false">IF(E259="","",E259)</f>
        <v/>
      </c>
      <c r="B259" s="12" t="str">
        <f aca="false">IF(J259="","",J259)</f>
        <v/>
      </c>
      <c r="C259" s="12" t="str">
        <f aca="false">IF(N259="","",N259)</f>
        <v/>
      </c>
      <c r="E259" s="13" t="str">
        <f aca="false">IFERROR(VALUE(TRIM(LEFT(RIGHT(D259,18),11))),"")</f>
        <v/>
      </c>
      <c r="J259" s="13" t="str">
        <f aca="false">IFERROR(VALUE(TRIM(LEFT(RIGHT(I259,18),11))),"")</f>
        <v/>
      </c>
      <c r="N259" s="13" t="str">
        <f aca="false">IFERROR(VALUE(TRIM(LEFT(RIGHT(M259,18),11))),"")</f>
        <v/>
      </c>
    </row>
    <row r="260" customFormat="false" ht="14.25" hidden="false" customHeight="true" outlineLevel="0" collapsed="false">
      <c r="A260" s="12" t="str">
        <f aca="false">IF(E260="","",E260)</f>
        <v/>
      </c>
      <c r="B260" s="12" t="str">
        <f aca="false">IF(J260="","",J260)</f>
        <v/>
      </c>
      <c r="C260" s="12" t="str">
        <f aca="false">IF(N260="","",N260)</f>
        <v/>
      </c>
      <c r="E260" s="13" t="str">
        <f aca="false">IFERROR(VALUE(TRIM(LEFT(RIGHT(D260,18),11))),"")</f>
        <v/>
      </c>
      <c r="J260" s="13" t="str">
        <f aca="false">IFERROR(VALUE(TRIM(LEFT(RIGHT(I260,18),11))),"")</f>
        <v/>
      </c>
      <c r="N260" s="13" t="str">
        <f aca="false">IFERROR(VALUE(TRIM(LEFT(RIGHT(M260,18),11))),"")</f>
        <v/>
      </c>
    </row>
    <row r="261" customFormat="false" ht="14.25" hidden="false" customHeight="true" outlineLevel="0" collapsed="false">
      <c r="A261" s="12" t="str">
        <f aca="false">IF(E261="","",E261)</f>
        <v/>
      </c>
      <c r="B261" s="12" t="str">
        <f aca="false">IF(J261="","",J261)</f>
        <v/>
      </c>
      <c r="C261" s="12" t="str">
        <f aca="false">IF(N261="","",N261)</f>
        <v/>
      </c>
      <c r="E261" s="13" t="str">
        <f aca="false">IFERROR(VALUE(TRIM(LEFT(RIGHT(D261,18),11))),"")</f>
        <v/>
      </c>
      <c r="J261" s="13" t="str">
        <f aca="false">IFERROR(VALUE(TRIM(LEFT(RIGHT(I261,18),11))),"")</f>
        <v/>
      </c>
      <c r="N261" s="13" t="str">
        <f aca="false">IFERROR(VALUE(TRIM(LEFT(RIGHT(M261,18),11))),"")</f>
        <v/>
      </c>
    </row>
    <row r="262" customFormat="false" ht="14.25" hidden="false" customHeight="true" outlineLevel="0" collapsed="false">
      <c r="A262" s="12" t="str">
        <f aca="false">IF(E262="","",E262)</f>
        <v/>
      </c>
      <c r="B262" s="12" t="str">
        <f aca="false">IF(J262="","",J262)</f>
        <v/>
      </c>
      <c r="C262" s="12" t="str">
        <f aca="false">IF(N262="","",N262)</f>
        <v/>
      </c>
      <c r="E262" s="13" t="str">
        <f aca="false">IFERROR(VALUE(TRIM(LEFT(RIGHT(D262,18),11))),"")</f>
        <v/>
      </c>
      <c r="J262" s="13" t="str">
        <f aca="false">IFERROR(VALUE(TRIM(LEFT(RIGHT(I262,18),11))),"")</f>
        <v/>
      </c>
      <c r="N262" s="13" t="str">
        <f aca="false">IFERROR(VALUE(TRIM(LEFT(RIGHT(M262,18),11))),"")</f>
        <v/>
      </c>
    </row>
    <row r="263" customFormat="false" ht="14.25" hidden="false" customHeight="true" outlineLevel="0" collapsed="false">
      <c r="A263" s="12" t="str">
        <f aca="false">IF(E263="","",E263)</f>
        <v/>
      </c>
      <c r="B263" s="12" t="str">
        <f aca="false">IF(J263="","",J263)</f>
        <v/>
      </c>
      <c r="C263" s="12" t="str">
        <f aca="false">IF(N263="","",N263)</f>
        <v/>
      </c>
      <c r="E263" s="13" t="str">
        <f aca="false">IFERROR(VALUE(TRIM(LEFT(RIGHT(D263,18),11))),"")</f>
        <v/>
      </c>
      <c r="J263" s="13" t="str">
        <f aca="false">IFERROR(VALUE(TRIM(LEFT(RIGHT(I263,18),11))),"")</f>
        <v/>
      </c>
      <c r="N263" s="13" t="str">
        <f aca="false">IFERROR(VALUE(TRIM(LEFT(RIGHT(M263,18),11))),"")</f>
        <v/>
      </c>
    </row>
    <row r="264" customFormat="false" ht="14.25" hidden="false" customHeight="true" outlineLevel="0" collapsed="false">
      <c r="A264" s="12" t="str">
        <f aca="false">IF(E264="","",E264)</f>
        <v/>
      </c>
      <c r="B264" s="12" t="str">
        <f aca="false">IF(J264="","",J264)</f>
        <v/>
      </c>
      <c r="C264" s="12" t="str">
        <f aca="false">IF(N264="","",N264)</f>
        <v/>
      </c>
      <c r="E264" s="13" t="str">
        <f aca="false">IFERROR(VALUE(TRIM(LEFT(RIGHT(D264,18),11))),"")</f>
        <v/>
      </c>
      <c r="J264" s="13" t="str">
        <f aca="false">IFERROR(VALUE(TRIM(LEFT(RIGHT(I264,18),11))),"")</f>
        <v/>
      </c>
      <c r="N264" s="13" t="str">
        <f aca="false">IFERROR(VALUE(TRIM(LEFT(RIGHT(M264,18),11))),"")</f>
        <v/>
      </c>
    </row>
    <row r="265" customFormat="false" ht="14.25" hidden="false" customHeight="true" outlineLevel="0" collapsed="false">
      <c r="A265" s="12" t="str">
        <f aca="false">IF(E265="","",E265)</f>
        <v/>
      </c>
      <c r="B265" s="12" t="str">
        <f aca="false">IF(J265="","",J265)</f>
        <v/>
      </c>
      <c r="C265" s="12" t="str">
        <f aca="false">IF(N265="","",N265)</f>
        <v/>
      </c>
      <c r="E265" s="13" t="str">
        <f aca="false">IFERROR(VALUE(TRIM(LEFT(RIGHT(D265,18),11))),"")</f>
        <v/>
      </c>
      <c r="J265" s="13" t="str">
        <f aca="false">IFERROR(VALUE(TRIM(LEFT(RIGHT(I265,18),11))),"")</f>
        <v/>
      </c>
      <c r="N265" s="13" t="str">
        <f aca="false">IFERROR(VALUE(TRIM(LEFT(RIGHT(M265,18),11))),"")</f>
        <v/>
      </c>
    </row>
    <row r="266" customFormat="false" ht="14.25" hidden="false" customHeight="true" outlineLevel="0" collapsed="false">
      <c r="A266" s="12" t="str">
        <f aca="false">IF(E266="","",E266)</f>
        <v/>
      </c>
      <c r="B266" s="12" t="str">
        <f aca="false">IF(J266="","",J266)</f>
        <v/>
      </c>
      <c r="C266" s="12" t="str">
        <f aca="false">IF(N266="","",N266)</f>
        <v/>
      </c>
      <c r="E266" s="13" t="str">
        <f aca="false">IFERROR(VALUE(TRIM(LEFT(RIGHT(D266,18),11))),"")</f>
        <v/>
      </c>
      <c r="J266" s="13" t="str">
        <f aca="false">IFERROR(VALUE(TRIM(LEFT(RIGHT(I266,18),11))),"")</f>
        <v/>
      </c>
      <c r="N266" s="13" t="str">
        <f aca="false">IFERROR(VALUE(TRIM(LEFT(RIGHT(M266,18),11))),"")</f>
        <v/>
      </c>
    </row>
    <row r="267" customFormat="false" ht="14.25" hidden="false" customHeight="true" outlineLevel="0" collapsed="false">
      <c r="A267" s="12" t="str">
        <f aca="false">IF(E267="","",E267)</f>
        <v/>
      </c>
      <c r="B267" s="12" t="str">
        <f aca="false">IF(J267="","",J267)</f>
        <v/>
      </c>
      <c r="C267" s="12" t="str">
        <f aca="false">IF(N267="","",N267)</f>
        <v/>
      </c>
      <c r="E267" s="13" t="str">
        <f aca="false">IFERROR(VALUE(TRIM(LEFT(RIGHT(D267,18),11))),"")</f>
        <v/>
      </c>
      <c r="J267" s="13" t="str">
        <f aca="false">IFERROR(VALUE(TRIM(LEFT(RIGHT(I267,18),11))),"")</f>
        <v/>
      </c>
      <c r="N267" s="13" t="str">
        <f aca="false">IFERROR(VALUE(TRIM(LEFT(RIGHT(M267,18),11))),"")</f>
        <v/>
      </c>
    </row>
    <row r="268" customFormat="false" ht="14.25" hidden="false" customHeight="true" outlineLevel="0" collapsed="false">
      <c r="A268" s="12" t="str">
        <f aca="false">IF(E268="","",E268)</f>
        <v/>
      </c>
      <c r="B268" s="12" t="str">
        <f aca="false">IF(J268="","",J268)</f>
        <v/>
      </c>
      <c r="C268" s="12" t="str">
        <f aca="false">IF(N268="","",N268)</f>
        <v/>
      </c>
      <c r="E268" s="13" t="str">
        <f aca="false">IFERROR(VALUE(TRIM(LEFT(RIGHT(D268,18),11))),"")</f>
        <v/>
      </c>
      <c r="J268" s="13" t="str">
        <f aca="false">IFERROR(VALUE(TRIM(LEFT(RIGHT(I268,18),11))),"")</f>
        <v/>
      </c>
      <c r="N268" s="13" t="str">
        <f aca="false">IFERROR(VALUE(TRIM(LEFT(RIGHT(M268,18),11))),"")</f>
        <v/>
      </c>
    </row>
    <row r="269" customFormat="false" ht="14.25" hidden="false" customHeight="true" outlineLevel="0" collapsed="false">
      <c r="A269" s="12" t="str">
        <f aca="false">IF(E269="","",E269)</f>
        <v/>
      </c>
      <c r="B269" s="12" t="str">
        <f aca="false">IF(J269="","",J269)</f>
        <v/>
      </c>
      <c r="C269" s="12" t="str">
        <f aca="false">IF(N269="","",N269)</f>
        <v/>
      </c>
      <c r="E269" s="13" t="str">
        <f aca="false">IFERROR(VALUE(TRIM(LEFT(RIGHT(D269,18),11))),"")</f>
        <v/>
      </c>
      <c r="J269" s="13" t="str">
        <f aca="false">IFERROR(VALUE(TRIM(LEFT(RIGHT(I269,18),11))),"")</f>
        <v/>
      </c>
      <c r="N269" s="13" t="str">
        <f aca="false">IFERROR(VALUE(TRIM(LEFT(RIGHT(M269,18),11))),"")</f>
        <v/>
      </c>
    </row>
    <row r="270" customFormat="false" ht="14.25" hidden="false" customHeight="true" outlineLevel="0" collapsed="false">
      <c r="A270" s="12" t="str">
        <f aca="false">IF(E270="","",E270)</f>
        <v/>
      </c>
      <c r="B270" s="12" t="str">
        <f aca="false">IF(J270="","",J270)</f>
        <v/>
      </c>
      <c r="C270" s="12" t="str">
        <f aca="false">IF(N270="","",N270)</f>
        <v/>
      </c>
      <c r="E270" s="13" t="str">
        <f aca="false">IFERROR(VALUE(TRIM(LEFT(RIGHT(D270,18),11))),"")</f>
        <v/>
      </c>
      <c r="J270" s="13" t="str">
        <f aca="false">IFERROR(VALUE(TRIM(LEFT(RIGHT(I270,18),11))),"")</f>
        <v/>
      </c>
      <c r="N270" s="13" t="str">
        <f aca="false">IFERROR(VALUE(TRIM(LEFT(RIGHT(M270,18),11))),"")</f>
        <v/>
      </c>
    </row>
    <row r="271" customFormat="false" ht="14.25" hidden="false" customHeight="true" outlineLevel="0" collapsed="false">
      <c r="A271" s="12" t="str">
        <f aca="false">IF(E271="","",E271)</f>
        <v/>
      </c>
      <c r="B271" s="12" t="str">
        <f aca="false">IF(J271="","",J271)</f>
        <v/>
      </c>
      <c r="C271" s="12" t="str">
        <f aca="false">IF(N271="","",N271)</f>
        <v/>
      </c>
      <c r="E271" s="13" t="str">
        <f aca="false">IFERROR(VALUE(TRIM(LEFT(RIGHT(D271,18),11))),"")</f>
        <v/>
      </c>
      <c r="J271" s="13" t="str">
        <f aca="false">IFERROR(VALUE(TRIM(LEFT(RIGHT(I271,18),11))),"")</f>
        <v/>
      </c>
      <c r="N271" s="13" t="str">
        <f aca="false">IFERROR(VALUE(TRIM(LEFT(RIGHT(M271,18),11))),"")</f>
        <v/>
      </c>
    </row>
    <row r="272" customFormat="false" ht="14.25" hidden="false" customHeight="true" outlineLevel="0" collapsed="false">
      <c r="A272" s="12" t="str">
        <f aca="false">IF(E272="","",E272)</f>
        <v/>
      </c>
      <c r="B272" s="12" t="str">
        <f aca="false">IF(J272="","",J272)</f>
        <v/>
      </c>
      <c r="C272" s="12" t="str">
        <f aca="false">IF(N272="","",N272)</f>
        <v/>
      </c>
      <c r="E272" s="13" t="str">
        <f aca="false">IFERROR(VALUE(TRIM(LEFT(RIGHT(D272,18),11))),"")</f>
        <v/>
      </c>
      <c r="J272" s="13" t="str">
        <f aca="false">IFERROR(VALUE(TRIM(LEFT(RIGHT(I272,18),11))),"")</f>
        <v/>
      </c>
      <c r="N272" s="13" t="str">
        <f aca="false">IFERROR(VALUE(TRIM(LEFT(RIGHT(M272,18),11))),"")</f>
        <v/>
      </c>
    </row>
    <row r="273" customFormat="false" ht="14.25" hidden="false" customHeight="true" outlineLevel="0" collapsed="false">
      <c r="A273" s="12" t="str">
        <f aca="false">IF(E273="","",E273)</f>
        <v/>
      </c>
      <c r="B273" s="12" t="str">
        <f aca="false">IF(J273="","",J273)</f>
        <v/>
      </c>
      <c r="C273" s="12" t="str">
        <f aca="false">IF(N273="","",N273)</f>
        <v/>
      </c>
      <c r="E273" s="13" t="str">
        <f aca="false">IFERROR(VALUE(TRIM(LEFT(RIGHT(D273,18),11))),"")</f>
        <v/>
      </c>
      <c r="J273" s="13" t="str">
        <f aca="false">IFERROR(VALUE(TRIM(LEFT(RIGHT(I273,18),11))),"")</f>
        <v/>
      </c>
      <c r="N273" s="13" t="str">
        <f aca="false">IFERROR(VALUE(TRIM(LEFT(RIGHT(M273,18),11))),"")</f>
        <v/>
      </c>
    </row>
    <row r="274" customFormat="false" ht="14.25" hidden="false" customHeight="true" outlineLevel="0" collapsed="false">
      <c r="A274" s="12" t="str">
        <f aca="false">IF(E274="","",E274)</f>
        <v/>
      </c>
      <c r="B274" s="12" t="str">
        <f aca="false">IF(J274="","",J274)</f>
        <v/>
      </c>
      <c r="C274" s="12" t="str">
        <f aca="false">IF(N274="","",N274)</f>
        <v/>
      </c>
      <c r="E274" s="13" t="str">
        <f aca="false">IFERROR(VALUE(TRIM(LEFT(RIGHT(D274,18),11))),"")</f>
        <v/>
      </c>
      <c r="J274" s="13" t="str">
        <f aca="false">IFERROR(VALUE(TRIM(LEFT(RIGHT(I274,18),11))),"")</f>
        <v/>
      </c>
      <c r="N274" s="13" t="str">
        <f aca="false">IFERROR(VALUE(TRIM(LEFT(RIGHT(M274,18),11))),"")</f>
        <v/>
      </c>
    </row>
    <row r="275" customFormat="false" ht="14.25" hidden="false" customHeight="true" outlineLevel="0" collapsed="false">
      <c r="A275" s="12" t="str">
        <f aca="false">IF(E275="","",E275)</f>
        <v/>
      </c>
      <c r="B275" s="12" t="str">
        <f aca="false">IF(J275="","",J275)</f>
        <v/>
      </c>
      <c r="C275" s="12" t="str">
        <f aca="false">IF(N275="","",N275)</f>
        <v/>
      </c>
      <c r="E275" s="13" t="str">
        <f aca="false">IFERROR(VALUE(TRIM(LEFT(RIGHT(D275,18),11))),"")</f>
        <v/>
      </c>
      <c r="J275" s="13" t="str">
        <f aca="false">IFERROR(VALUE(TRIM(LEFT(RIGHT(I275,18),11))),"")</f>
        <v/>
      </c>
      <c r="N275" s="13" t="str">
        <f aca="false">IFERROR(VALUE(TRIM(LEFT(RIGHT(M275,18),11))),"")</f>
        <v/>
      </c>
    </row>
    <row r="276" customFormat="false" ht="14.25" hidden="false" customHeight="true" outlineLevel="0" collapsed="false">
      <c r="A276" s="12" t="str">
        <f aca="false">IF(E276="","",E276)</f>
        <v/>
      </c>
      <c r="B276" s="12" t="str">
        <f aca="false">IF(J276="","",J276)</f>
        <v/>
      </c>
      <c r="C276" s="12" t="str">
        <f aca="false">IF(N276="","",N276)</f>
        <v/>
      </c>
      <c r="E276" s="13" t="str">
        <f aca="false">IFERROR(VALUE(TRIM(LEFT(RIGHT(D276,18),11))),"")</f>
        <v/>
      </c>
      <c r="J276" s="13" t="str">
        <f aca="false">IFERROR(VALUE(TRIM(LEFT(RIGHT(I276,18),11))),"")</f>
        <v/>
      </c>
      <c r="N276" s="13" t="str">
        <f aca="false">IFERROR(VALUE(TRIM(LEFT(RIGHT(M276,18),11))),"")</f>
        <v/>
      </c>
    </row>
    <row r="277" customFormat="false" ht="14.25" hidden="false" customHeight="true" outlineLevel="0" collapsed="false">
      <c r="A277" s="12" t="str">
        <f aca="false">IF(E277="","",E277)</f>
        <v/>
      </c>
      <c r="B277" s="12" t="str">
        <f aca="false">IF(J277="","",J277)</f>
        <v/>
      </c>
      <c r="C277" s="12" t="str">
        <f aca="false">IF(N277="","",N277)</f>
        <v/>
      </c>
      <c r="E277" s="13" t="str">
        <f aca="false">IFERROR(VALUE(TRIM(LEFT(RIGHT(D277,18),11))),"")</f>
        <v/>
      </c>
      <c r="J277" s="13" t="str">
        <f aca="false">IFERROR(VALUE(TRIM(LEFT(RIGHT(I277,18),11))),"")</f>
        <v/>
      </c>
      <c r="N277" s="13" t="str">
        <f aca="false">IFERROR(VALUE(TRIM(LEFT(RIGHT(M277,18),11))),"")</f>
        <v/>
      </c>
    </row>
    <row r="278" customFormat="false" ht="14.25" hidden="false" customHeight="true" outlineLevel="0" collapsed="false">
      <c r="A278" s="12" t="str">
        <f aca="false">IF(E278="","",E278)</f>
        <v/>
      </c>
      <c r="B278" s="12" t="str">
        <f aca="false">IF(J278="","",J278)</f>
        <v/>
      </c>
      <c r="C278" s="12" t="str">
        <f aca="false">IF(N278="","",N278)</f>
        <v/>
      </c>
      <c r="E278" s="13" t="str">
        <f aca="false">IFERROR(VALUE(TRIM(LEFT(RIGHT(D278,18),11))),"")</f>
        <v/>
      </c>
      <c r="J278" s="13" t="str">
        <f aca="false">IFERROR(VALUE(TRIM(LEFT(RIGHT(I278,18),11))),"")</f>
        <v/>
      </c>
      <c r="N278" s="13" t="str">
        <f aca="false">IFERROR(VALUE(TRIM(LEFT(RIGHT(M278,18),11))),"")</f>
        <v/>
      </c>
    </row>
    <row r="279" customFormat="false" ht="14.25" hidden="false" customHeight="true" outlineLevel="0" collapsed="false">
      <c r="A279" s="12" t="str">
        <f aca="false">IF(E279="","",E279)</f>
        <v/>
      </c>
      <c r="B279" s="12" t="str">
        <f aca="false">IF(J279="","",J279)</f>
        <v/>
      </c>
      <c r="C279" s="12" t="str">
        <f aca="false">IF(N279="","",N279)</f>
        <v/>
      </c>
      <c r="E279" s="13" t="str">
        <f aca="false">IFERROR(VALUE(TRIM(LEFT(RIGHT(D279,18),11))),"")</f>
        <v/>
      </c>
      <c r="J279" s="13" t="str">
        <f aca="false">IFERROR(VALUE(TRIM(LEFT(RIGHT(I279,18),11))),"")</f>
        <v/>
      </c>
      <c r="N279" s="13" t="str">
        <f aca="false">IFERROR(VALUE(TRIM(LEFT(RIGHT(M279,18),11))),"")</f>
        <v/>
      </c>
    </row>
    <row r="280" customFormat="false" ht="14.25" hidden="false" customHeight="true" outlineLevel="0" collapsed="false">
      <c r="A280" s="12" t="str">
        <f aca="false">IF(E280="","",E280)</f>
        <v/>
      </c>
      <c r="B280" s="12" t="str">
        <f aca="false">IF(J280="","",J280)</f>
        <v/>
      </c>
      <c r="C280" s="12" t="str">
        <f aca="false">IF(N280="","",N280)</f>
        <v/>
      </c>
      <c r="E280" s="13" t="str">
        <f aca="false">IFERROR(VALUE(TRIM(LEFT(RIGHT(D280,18),11))),"")</f>
        <v/>
      </c>
      <c r="J280" s="13" t="str">
        <f aca="false">IFERROR(VALUE(TRIM(LEFT(RIGHT(I280,18),11))),"")</f>
        <v/>
      </c>
      <c r="N280" s="13" t="str">
        <f aca="false">IFERROR(VALUE(TRIM(LEFT(RIGHT(M280,18),11))),"")</f>
        <v/>
      </c>
    </row>
    <row r="281" customFormat="false" ht="14.25" hidden="false" customHeight="true" outlineLevel="0" collapsed="false">
      <c r="A281" s="12" t="str">
        <f aca="false">IF(E281="","",E281)</f>
        <v/>
      </c>
      <c r="B281" s="12" t="str">
        <f aca="false">IF(J281="","",J281)</f>
        <v/>
      </c>
      <c r="C281" s="12" t="str">
        <f aca="false">IF(N281="","",N281)</f>
        <v/>
      </c>
      <c r="E281" s="13" t="str">
        <f aca="false">IFERROR(VALUE(TRIM(LEFT(RIGHT(D281,18),11))),"")</f>
        <v/>
      </c>
      <c r="J281" s="13" t="str">
        <f aca="false">IFERROR(VALUE(TRIM(LEFT(RIGHT(I281,18),11))),"")</f>
        <v/>
      </c>
      <c r="N281" s="13" t="str">
        <f aca="false">IFERROR(VALUE(TRIM(LEFT(RIGHT(M281,18),11))),"")</f>
        <v/>
      </c>
    </row>
    <row r="282" customFormat="false" ht="14.25" hidden="false" customHeight="true" outlineLevel="0" collapsed="false">
      <c r="A282" s="12" t="str">
        <f aca="false">IF(E282="","",E282)</f>
        <v/>
      </c>
      <c r="B282" s="12" t="str">
        <f aca="false">IF(J282="","",J282)</f>
        <v/>
      </c>
      <c r="C282" s="12" t="str">
        <f aca="false">IF(N282="","",N282)</f>
        <v/>
      </c>
      <c r="E282" s="13" t="str">
        <f aca="false">IFERROR(VALUE(TRIM(LEFT(RIGHT(D282,18),11))),"")</f>
        <v/>
      </c>
      <c r="J282" s="13" t="str">
        <f aca="false">IFERROR(VALUE(TRIM(LEFT(RIGHT(I282,18),11))),"")</f>
        <v/>
      </c>
      <c r="N282" s="13" t="str">
        <f aca="false">IFERROR(VALUE(TRIM(LEFT(RIGHT(M282,18),11))),"")</f>
        <v/>
      </c>
    </row>
    <row r="283" customFormat="false" ht="14.25" hidden="false" customHeight="true" outlineLevel="0" collapsed="false">
      <c r="A283" s="12" t="str">
        <f aca="false">IF(E283="","",E283)</f>
        <v/>
      </c>
      <c r="B283" s="12" t="str">
        <f aca="false">IF(J283="","",J283)</f>
        <v/>
      </c>
      <c r="C283" s="12" t="str">
        <f aca="false">IF(N283="","",N283)</f>
        <v/>
      </c>
      <c r="E283" s="13" t="str">
        <f aca="false">IFERROR(VALUE(TRIM(LEFT(RIGHT(D283,18),11))),"")</f>
        <v/>
      </c>
      <c r="J283" s="13" t="str">
        <f aca="false">IFERROR(VALUE(TRIM(LEFT(RIGHT(I283,18),11))),"")</f>
        <v/>
      </c>
      <c r="N283" s="13" t="str">
        <f aca="false">IFERROR(VALUE(TRIM(LEFT(RIGHT(M283,18),11))),"")</f>
        <v/>
      </c>
    </row>
    <row r="284" customFormat="false" ht="14.25" hidden="false" customHeight="true" outlineLevel="0" collapsed="false">
      <c r="A284" s="12" t="str">
        <f aca="false">IF(E284="","",E284)</f>
        <v/>
      </c>
      <c r="B284" s="12" t="str">
        <f aca="false">IF(J284="","",J284)</f>
        <v/>
      </c>
      <c r="C284" s="12" t="str">
        <f aca="false">IF(N284="","",N284)</f>
        <v/>
      </c>
      <c r="E284" s="13" t="str">
        <f aca="false">IFERROR(VALUE(TRIM(LEFT(RIGHT(D284,18),11))),"")</f>
        <v/>
      </c>
      <c r="J284" s="13" t="str">
        <f aca="false">IFERROR(VALUE(TRIM(LEFT(RIGHT(I284,18),11))),"")</f>
        <v/>
      </c>
      <c r="N284" s="13" t="str">
        <f aca="false">IFERROR(VALUE(TRIM(LEFT(RIGHT(M284,18),11))),"")</f>
        <v/>
      </c>
    </row>
    <row r="285" customFormat="false" ht="14.25" hidden="false" customHeight="true" outlineLevel="0" collapsed="false">
      <c r="A285" s="12" t="str">
        <f aca="false">IF(E285="","",E285)</f>
        <v/>
      </c>
      <c r="B285" s="12" t="str">
        <f aca="false">IF(J285="","",J285)</f>
        <v/>
      </c>
      <c r="C285" s="12" t="str">
        <f aca="false">IF(N285="","",N285)</f>
        <v/>
      </c>
      <c r="E285" s="13" t="str">
        <f aca="false">IFERROR(VALUE(TRIM(LEFT(RIGHT(D285,18),11))),"")</f>
        <v/>
      </c>
      <c r="J285" s="13" t="str">
        <f aca="false">IFERROR(VALUE(TRIM(LEFT(RIGHT(I285,18),11))),"")</f>
        <v/>
      </c>
      <c r="N285" s="13" t="str">
        <f aca="false">IFERROR(VALUE(TRIM(LEFT(RIGHT(M285,18),11))),"")</f>
        <v/>
      </c>
    </row>
    <row r="286" customFormat="false" ht="14.25" hidden="false" customHeight="true" outlineLevel="0" collapsed="false">
      <c r="A286" s="12" t="str">
        <f aca="false">IF(E286="","",E286)</f>
        <v/>
      </c>
      <c r="B286" s="12" t="str">
        <f aca="false">IF(J286="","",J286)</f>
        <v/>
      </c>
      <c r="C286" s="12" t="str">
        <f aca="false">IF(N286="","",N286)</f>
        <v/>
      </c>
      <c r="E286" s="13" t="str">
        <f aca="false">IFERROR(VALUE(TRIM(LEFT(RIGHT(D286,18),11))),"")</f>
        <v/>
      </c>
      <c r="J286" s="13" t="str">
        <f aca="false">IFERROR(VALUE(TRIM(LEFT(RIGHT(I286,18),11))),"")</f>
        <v/>
      </c>
      <c r="N286" s="13" t="str">
        <f aca="false">IFERROR(VALUE(TRIM(LEFT(RIGHT(M286,18),11))),"")</f>
        <v/>
      </c>
    </row>
    <row r="287" customFormat="false" ht="14.25" hidden="false" customHeight="true" outlineLevel="0" collapsed="false">
      <c r="A287" s="12" t="str">
        <f aca="false">IF(E287="","",E287)</f>
        <v/>
      </c>
      <c r="B287" s="12" t="str">
        <f aca="false">IF(J287="","",J287)</f>
        <v/>
      </c>
      <c r="C287" s="12" t="str">
        <f aca="false">IF(N287="","",N287)</f>
        <v/>
      </c>
      <c r="E287" s="13" t="str">
        <f aca="false">IFERROR(VALUE(TRIM(LEFT(RIGHT(D287,18),11))),"")</f>
        <v/>
      </c>
      <c r="J287" s="13" t="str">
        <f aca="false">IFERROR(VALUE(TRIM(LEFT(RIGHT(I287,18),11))),"")</f>
        <v/>
      </c>
      <c r="N287" s="13" t="str">
        <f aca="false">IFERROR(VALUE(TRIM(LEFT(RIGHT(M287,18),11))),"")</f>
        <v/>
      </c>
    </row>
    <row r="288" customFormat="false" ht="14.25" hidden="false" customHeight="true" outlineLevel="0" collapsed="false">
      <c r="A288" s="12" t="str">
        <f aca="false">IF(E288="","",E288)</f>
        <v/>
      </c>
      <c r="B288" s="12" t="str">
        <f aca="false">IF(J288="","",J288)</f>
        <v/>
      </c>
      <c r="C288" s="12" t="str">
        <f aca="false">IF(N288="","",N288)</f>
        <v/>
      </c>
      <c r="E288" s="13" t="str">
        <f aca="false">IFERROR(VALUE(TRIM(LEFT(RIGHT(D288,18),11))),"")</f>
        <v/>
      </c>
      <c r="J288" s="13" t="str">
        <f aca="false">IFERROR(VALUE(TRIM(LEFT(RIGHT(I288,18),11))),"")</f>
        <v/>
      </c>
      <c r="N288" s="13" t="str">
        <f aca="false">IFERROR(VALUE(TRIM(LEFT(RIGHT(M288,18),11))),"")</f>
        <v/>
      </c>
    </row>
    <row r="289" customFormat="false" ht="14.25" hidden="false" customHeight="true" outlineLevel="0" collapsed="false">
      <c r="A289" s="12" t="str">
        <f aca="false">IF(E289="","",E289)</f>
        <v/>
      </c>
      <c r="B289" s="12" t="str">
        <f aca="false">IF(J289="","",J289)</f>
        <v/>
      </c>
      <c r="C289" s="12" t="str">
        <f aca="false">IF(N289="","",N289)</f>
        <v/>
      </c>
      <c r="E289" s="13" t="str">
        <f aca="false">IFERROR(VALUE(TRIM(LEFT(RIGHT(D289,18),11))),"")</f>
        <v/>
      </c>
      <c r="J289" s="13" t="str">
        <f aca="false">IFERROR(VALUE(TRIM(LEFT(RIGHT(I289,18),11))),"")</f>
        <v/>
      </c>
      <c r="N289" s="13" t="str">
        <f aca="false">IFERROR(VALUE(TRIM(LEFT(RIGHT(M289,18),11))),"")</f>
        <v/>
      </c>
    </row>
    <row r="290" customFormat="false" ht="14.25" hidden="false" customHeight="true" outlineLevel="0" collapsed="false">
      <c r="A290" s="12" t="str">
        <f aca="false">IF(E290="","",E290)</f>
        <v/>
      </c>
      <c r="B290" s="12" t="str">
        <f aca="false">IF(J290="","",J290)</f>
        <v/>
      </c>
      <c r="C290" s="12" t="str">
        <f aca="false">IF(N290="","",N290)</f>
        <v/>
      </c>
      <c r="E290" s="13" t="str">
        <f aca="false">IFERROR(VALUE(TRIM(LEFT(RIGHT(D290,18),11))),"")</f>
        <v/>
      </c>
      <c r="J290" s="13" t="str">
        <f aca="false">IFERROR(VALUE(TRIM(LEFT(RIGHT(I290,18),11))),"")</f>
        <v/>
      </c>
      <c r="N290" s="13" t="str">
        <f aca="false">IFERROR(VALUE(TRIM(LEFT(RIGHT(M290,18),11))),"")</f>
        <v/>
      </c>
    </row>
    <row r="291" customFormat="false" ht="14.25" hidden="false" customHeight="true" outlineLevel="0" collapsed="false">
      <c r="A291" s="12" t="str">
        <f aca="false">IF(E291="","",E291)</f>
        <v/>
      </c>
      <c r="B291" s="12" t="str">
        <f aca="false">IF(J291="","",J291)</f>
        <v/>
      </c>
      <c r="C291" s="12" t="str">
        <f aca="false">IF(N291="","",N291)</f>
        <v/>
      </c>
      <c r="E291" s="13" t="str">
        <f aca="false">IFERROR(VALUE(TRIM(LEFT(RIGHT(D291,18),11))),"")</f>
        <v/>
      </c>
      <c r="J291" s="13" t="str">
        <f aca="false">IFERROR(VALUE(TRIM(LEFT(RIGHT(I291,18),11))),"")</f>
        <v/>
      </c>
      <c r="N291" s="13" t="str">
        <f aca="false">IFERROR(VALUE(TRIM(LEFT(RIGHT(M291,18),11))),"")</f>
        <v/>
      </c>
    </row>
    <row r="292" customFormat="false" ht="14.25" hidden="false" customHeight="true" outlineLevel="0" collapsed="false">
      <c r="A292" s="12" t="str">
        <f aca="false">IF(E292="","",E292)</f>
        <v/>
      </c>
      <c r="B292" s="12" t="str">
        <f aca="false">IF(J292="","",J292)</f>
        <v/>
      </c>
      <c r="C292" s="12" t="str">
        <f aca="false">IF(N292="","",N292)</f>
        <v/>
      </c>
      <c r="E292" s="13" t="str">
        <f aca="false">IFERROR(VALUE(TRIM(LEFT(RIGHT(D292,18),11))),"")</f>
        <v/>
      </c>
      <c r="J292" s="13" t="str">
        <f aca="false">IFERROR(VALUE(TRIM(LEFT(RIGHT(I292,18),11))),"")</f>
        <v/>
      </c>
      <c r="N292" s="13" t="str">
        <f aca="false">IFERROR(VALUE(TRIM(LEFT(RIGHT(M292,18),11))),"")</f>
        <v/>
      </c>
    </row>
    <row r="293" customFormat="false" ht="14.25" hidden="false" customHeight="true" outlineLevel="0" collapsed="false">
      <c r="A293" s="12" t="str">
        <f aca="false">IF(E293="","",E293)</f>
        <v/>
      </c>
      <c r="B293" s="12" t="str">
        <f aca="false">IF(J293="","",J293)</f>
        <v/>
      </c>
      <c r="C293" s="12" t="str">
        <f aca="false">IF(N293="","",N293)</f>
        <v/>
      </c>
      <c r="E293" s="13" t="str">
        <f aca="false">IFERROR(VALUE(TRIM(LEFT(RIGHT(D293,18),11))),"")</f>
        <v/>
      </c>
      <c r="J293" s="13" t="str">
        <f aca="false">IFERROR(VALUE(TRIM(LEFT(RIGHT(I293,18),11))),"")</f>
        <v/>
      </c>
      <c r="N293" s="13" t="str">
        <f aca="false">IFERROR(VALUE(TRIM(LEFT(RIGHT(M293,18),11))),"")</f>
        <v/>
      </c>
    </row>
    <row r="294" customFormat="false" ht="14.25" hidden="false" customHeight="true" outlineLevel="0" collapsed="false">
      <c r="A294" s="12" t="str">
        <f aca="false">IF(E294="","",E294)</f>
        <v/>
      </c>
      <c r="B294" s="12" t="str">
        <f aca="false">IF(J294="","",J294)</f>
        <v/>
      </c>
      <c r="C294" s="12" t="str">
        <f aca="false">IF(N294="","",N294)</f>
        <v/>
      </c>
      <c r="E294" s="13" t="str">
        <f aca="false">IFERROR(VALUE(TRIM(LEFT(RIGHT(D294,18),11))),"")</f>
        <v/>
      </c>
      <c r="J294" s="13" t="str">
        <f aca="false">IFERROR(VALUE(TRIM(LEFT(RIGHT(I294,18),11))),"")</f>
        <v/>
      </c>
      <c r="N294" s="13" t="str">
        <f aca="false">IFERROR(VALUE(TRIM(LEFT(RIGHT(M294,18),11))),"")</f>
        <v/>
      </c>
    </row>
    <row r="295" customFormat="false" ht="14.25" hidden="false" customHeight="true" outlineLevel="0" collapsed="false">
      <c r="A295" s="12" t="str">
        <f aca="false">IF(E295="","",E295)</f>
        <v/>
      </c>
      <c r="B295" s="12" t="str">
        <f aca="false">IF(J295="","",J295)</f>
        <v/>
      </c>
      <c r="C295" s="12" t="str">
        <f aca="false">IF(N295="","",N295)</f>
        <v/>
      </c>
      <c r="E295" s="13" t="str">
        <f aca="false">IFERROR(VALUE(TRIM(LEFT(RIGHT(D295,18),11))),"")</f>
        <v/>
      </c>
      <c r="J295" s="13" t="str">
        <f aca="false">IFERROR(VALUE(TRIM(LEFT(RIGHT(I295,18),11))),"")</f>
        <v/>
      </c>
      <c r="N295" s="13" t="str">
        <f aca="false">IFERROR(VALUE(TRIM(LEFT(RIGHT(M295,18),11))),"")</f>
        <v/>
      </c>
    </row>
    <row r="296" customFormat="false" ht="14.25" hidden="false" customHeight="true" outlineLevel="0" collapsed="false">
      <c r="A296" s="12" t="str">
        <f aca="false">IF(E296="","",E296)</f>
        <v/>
      </c>
      <c r="B296" s="12" t="str">
        <f aca="false">IF(J296="","",J296)</f>
        <v/>
      </c>
      <c r="C296" s="12" t="str">
        <f aca="false">IF(N296="","",N296)</f>
        <v/>
      </c>
      <c r="E296" s="13" t="str">
        <f aca="false">IFERROR(VALUE(TRIM(LEFT(RIGHT(D296,18),11))),"")</f>
        <v/>
      </c>
      <c r="J296" s="13" t="str">
        <f aca="false">IFERROR(VALUE(TRIM(LEFT(RIGHT(I296,18),11))),"")</f>
        <v/>
      </c>
      <c r="N296" s="13" t="str">
        <f aca="false">IFERROR(VALUE(TRIM(LEFT(RIGHT(M296,18),11))),"")</f>
        <v/>
      </c>
    </row>
    <row r="297" customFormat="false" ht="14.25" hidden="false" customHeight="true" outlineLevel="0" collapsed="false">
      <c r="A297" s="12" t="str">
        <f aca="false">IF(E297="","",E297)</f>
        <v/>
      </c>
      <c r="B297" s="12" t="str">
        <f aca="false">IF(J297="","",J297)</f>
        <v/>
      </c>
      <c r="C297" s="12" t="str">
        <f aca="false">IF(N297="","",N297)</f>
        <v/>
      </c>
      <c r="E297" s="13" t="str">
        <f aca="false">IFERROR(VALUE(TRIM(LEFT(RIGHT(D297,18),11))),"")</f>
        <v/>
      </c>
      <c r="J297" s="13" t="str">
        <f aca="false">IFERROR(VALUE(TRIM(LEFT(RIGHT(I297,18),11))),"")</f>
        <v/>
      </c>
      <c r="N297" s="13" t="str">
        <f aca="false">IFERROR(VALUE(TRIM(LEFT(RIGHT(M297,18),11))),"")</f>
        <v/>
      </c>
    </row>
    <row r="298" customFormat="false" ht="14.25" hidden="false" customHeight="true" outlineLevel="0" collapsed="false">
      <c r="A298" s="12" t="str">
        <f aca="false">IF(E298="","",E298)</f>
        <v/>
      </c>
      <c r="B298" s="12" t="str">
        <f aca="false">IF(J298="","",J298)</f>
        <v/>
      </c>
      <c r="C298" s="12" t="str">
        <f aca="false">IF(N298="","",N298)</f>
        <v/>
      </c>
      <c r="E298" s="13" t="str">
        <f aca="false">IFERROR(VALUE(TRIM(LEFT(RIGHT(D298,18),11))),"")</f>
        <v/>
      </c>
      <c r="J298" s="13" t="str">
        <f aca="false">IFERROR(VALUE(TRIM(LEFT(RIGHT(I298,18),11))),"")</f>
        <v/>
      </c>
      <c r="N298" s="13" t="str">
        <f aca="false">IFERROR(VALUE(TRIM(LEFT(RIGHT(M298,18),11))),"")</f>
        <v/>
      </c>
    </row>
    <row r="299" customFormat="false" ht="14.25" hidden="false" customHeight="true" outlineLevel="0" collapsed="false">
      <c r="A299" s="12" t="str">
        <f aca="false">IF(E299="","",E299)</f>
        <v/>
      </c>
      <c r="B299" s="12" t="str">
        <f aca="false">IF(J299="","",J299)</f>
        <v/>
      </c>
      <c r="C299" s="12" t="str">
        <f aca="false">IF(N299="","",N299)</f>
        <v/>
      </c>
      <c r="E299" s="13" t="str">
        <f aca="false">IFERROR(VALUE(TRIM(LEFT(RIGHT(D299,18),11))),"")</f>
        <v/>
      </c>
      <c r="J299" s="13" t="str">
        <f aca="false">IFERROR(VALUE(TRIM(LEFT(RIGHT(I299,18),11))),"")</f>
        <v/>
      </c>
      <c r="N299" s="13" t="str">
        <f aca="false">IFERROR(VALUE(TRIM(LEFT(RIGHT(M299,18),11))),"")</f>
        <v/>
      </c>
    </row>
    <row r="300" customFormat="false" ht="14.25" hidden="false" customHeight="true" outlineLevel="0" collapsed="false">
      <c r="A300" s="12" t="str">
        <f aca="false">IF(E300="","",E300)</f>
        <v/>
      </c>
      <c r="B300" s="12" t="str">
        <f aca="false">IF(J300="","",J300)</f>
        <v/>
      </c>
      <c r="C300" s="12" t="str">
        <f aca="false">IF(N300="","",N300)</f>
        <v/>
      </c>
      <c r="E300" s="13" t="str">
        <f aca="false">IFERROR(VALUE(TRIM(LEFT(RIGHT(D300,18),11))),"")</f>
        <v/>
      </c>
      <c r="J300" s="13" t="str">
        <f aca="false">IFERROR(VALUE(TRIM(LEFT(RIGHT(I300,18),11))),"")</f>
        <v/>
      </c>
      <c r="N300" s="13" t="str">
        <f aca="false">IFERROR(VALUE(TRIM(LEFT(RIGHT(M300,18),11))),"")</f>
        <v/>
      </c>
    </row>
    <row r="301" customFormat="false" ht="14.25" hidden="false" customHeight="true" outlineLevel="0" collapsed="false">
      <c r="A301" s="12" t="str">
        <f aca="false">IF(E301="","",E301)</f>
        <v/>
      </c>
      <c r="B301" s="12" t="str">
        <f aca="false">IF(J301="","",J301)</f>
        <v/>
      </c>
      <c r="C301" s="12" t="str">
        <f aca="false">IF(N301="","",N301)</f>
        <v/>
      </c>
      <c r="E301" s="13" t="str">
        <f aca="false">IFERROR(VALUE(TRIM(LEFT(RIGHT(D301,18),11))),"")</f>
        <v/>
      </c>
      <c r="J301" s="13" t="str">
        <f aca="false">IFERROR(VALUE(TRIM(LEFT(RIGHT(I301,18),11))),"")</f>
        <v/>
      </c>
      <c r="N301" s="13" t="str">
        <f aca="false">IFERROR(VALUE(TRIM(LEFT(RIGHT(M301,18),11))),"")</f>
        <v/>
      </c>
    </row>
    <row r="302" customFormat="false" ht="14.25" hidden="false" customHeight="true" outlineLevel="0" collapsed="false">
      <c r="A302" s="12" t="str">
        <f aca="false">IF(E302="","",E302)</f>
        <v/>
      </c>
      <c r="B302" s="12" t="str">
        <f aca="false">IF(J302="","",J302)</f>
        <v/>
      </c>
      <c r="C302" s="12" t="str">
        <f aca="false">IF(N302="","",N302)</f>
        <v/>
      </c>
      <c r="E302" s="13" t="str">
        <f aca="false">IFERROR(VALUE(TRIM(LEFT(RIGHT(D302,18),11))),"")</f>
        <v/>
      </c>
      <c r="J302" s="13" t="str">
        <f aca="false">IFERROR(VALUE(TRIM(LEFT(RIGHT(I302,18),11))),"")</f>
        <v/>
      </c>
      <c r="N302" s="13" t="str">
        <f aca="false">IFERROR(VALUE(TRIM(LEFT(RIGHT(M302,18),11))),"")</f>
        <v/>
      </c>
    </row>
    <row r="303" customFormat="false" ht="14.25" hidden="false" customHeight="true" outlineLevel="0" collapsed="false">
      <c r="A303" s="12" t="str">
        <f aca="false">IF(E303="","",E303)</f>
        <v/>
      </c>
      <c r="B303" s="12" t="str">
        <f aca="false">IF(J303="","",J303)</f>
        <v/>
      </c>
      <c r="C303" s="12" t="str">
        <f aca="false">IF(N303="","",N303)</f>
        <v/>
      </c>
      <c r="E303" s="13" t="str">
        <f aca="false">IFERROR(VALUE(TRIM(LEFT(RIGHT(D303,18),11))),"")</f>
        <v/>
      </c>
      <c r="J303" s="13" t="str">
        <f aca="false">IFERROR(VALUE(TRIM(LEFT(RIGHT(I303,18),11))),"")</f>
        <v/>
      </c>
      <c r="N303" s="13" t="str">
        <f aca="false">IFERROR(VALUE(TRIM(LEFT(RIGHT(M303,18),11))),"")</f>
        <v/>
      </c>
    </row>
    <row r="304" customFormat="false" ht="14.25" hidden="false" customHeight="true" outlineLevel="0" collapsed="false">
      <c r="A304" s="12" t="str">
        <f aca="false">IF(E304="","",E304)</f>
        <v/>
      </c>
      <c r="B304" s="12" t="str">
        <f aca="false">IF(J304="","",J304)</f>
        <v/>
      </c>
      <c r="C304" s="12" t="str">
        <f aca="false">IF(N304="","",N304)</f>
        <v/>
      </c>
      <c r="E304" s="13" t="str">
        <f aca="false">IFERROR(VALUE(TRIM(LEFT(RIGHT(D304,18),11))),"")</f>
        <v/>
      </c>
      <c r="J304" s="13" t="str">
        <f aca="false">IFERROR(VALUE(TRIM(LEFT(RIGHT(I304,18),11))),"")</f>
        <v/>
      </c>
      <c r="N304" s="13" t="str">
        <f aca="false">IFERROR(VALUE(TRIM(LEFT(RIGHT(M304,18),11))),"")</f>
        <v/>
      </c>
    </row>
    <row r="305" customFormat="false" ht="14.25" hidden="false" customHeight="true" outlineLevel="0" collapsed="false">
      <c r="A305" s="12" t="str">
        <f aca="false">IF(E305="","",E305)</f>
        <v/>
      </c>
      <c r="B305" s="12" t="str">
        <f aca="false">IF(J305="","",J305)</f>
        <v/>
      </c>
      <c r="C305" s="12" t="str">
        <f aca="false">IF(N305="","",N305)</f>
        <v/>
      </c>
      <c r="E305" s="13" t="str">
        <f aca="false">IFERROR(VALUE(TRIM(LEFT(RIGHT(D305,18),11))),"")</f>
        <v/>
      </c>
      <c r="J305" s="13" t="str">
        <f aca="false">IFERROR(VALUE(TRIM(LEFT(RIGHT(I305,18),11))),"")</f>
        <v/>
      </c>
      <c r="N305" s="13" t="str">
        <f aca="false">IFERROR(VALUE(TRIM(LEFT(RIGHT(M305,18),11))),"")</f>
        <v/>
      </c>
    </row>
    <row r="306" customFormat="false" ht="14.25" hidden="false" customHeight="true" outlineLevel="0" collapsed="false">
      <c r="A306" s="12" t="str">
        <f aca="false">IF(E306="","",E306)</f>
        <v/>
      </c>
      <c r="B306" s="12" t="str">
        <f aca="false">IF(J306="","",J306)</f>
        <v/>
      </c>
      <c r="C306" s="12" t="str">
        <f aca="false">IF(N306="","",N306)</f>
        <v/>
      </c>
      <c r="E306" s="13" t="str">
        <f aca="false">IFERROR(VALUE(TRIM(LEFT(RIGHT(D306,18),11))),"")</f>
        <v/>
      </c>
      <c r="J306" s="13" t="str">
        <f aca="false">IFERROR(VALUE(TRIM(LEFT(RIGHT(I306,18),11))),"")</f>
        <v/>
      </c>
      <c r="N306" s="13" t="str">
        <f aca="false">IFERROR(VALUE(TRIM(LEFT(RIGHT(M306,18),11))),"")</f>
        <v/>
      </c>
    </row>
    <row r="307" customFormat="false" ht="14.25" hidden="false" customHeight="true" outlineLevel="0" collapsed="false">
      <c r="A307" s="12" t="str">
        <f aca="false">IF(E307="","",E307)</f>
        <v/>
      </c>
      <c r="B307" s="12" t="str">
        <f aca="false">IF(J307="","",J307)</f>
        <v/>
      </c>
      <c r="C307" s="12" t="str">
        <f aca="false">IF(N307="","",N307)</f>
        <v/>
      </c>
      <c r="E307" s="13" t="str">
        <f aca="false">IFERROR(VALUE(TRIM(LEFT(RIGHT(D307,18),11))),"")</f>
        <v/>
      </c>
      <c r="J307" s="13" t="str">
        <f aca="false">IFERROR(VALUE(TRIM(LEFT(RIGHT(I307,18),11))),"")</f>
        <v/>
      </c>
      <c r="N307" s="13" t="str">
        <f aca="false">IFERROR(VALUE(TRIM(LEFT(RIGHT(M307,18),11))),"")</f>
        <v/>
      </c>
    </row>
    <row r="308" customFormat="false" ht="14.25" hidden="false" customHeight="true" outlineLevel="0" collapsed="false">
      <c r="A308" s="12" t="str">
        <f aca="false">IF(E308="","",E308)</f>
        <v/>
      </c>
      <c r="B308" s="12" t="str">
        <f aca="false">IF(J308="","",J308)</f>
        <v/>
      </c>
      <c r="C308" s="12" t="str">
        <f aca="false">IF(N308="","",N308)</f>
        <v/>
      </c>
      <c r="E308" s="13" t="str">
        <f aca="false">IFERROR(VALUE(TRIM(LEFT(RIGHT(D308,18),11))),"")</f>
        <v/>
      </c>
      <c r="J308" s="13" t="str">
        <f aca="false">IFERROR(VALUE(TRIM(LEFT(RIGHT(I308,18),11))),"")</f>
        <v/>
      </c>
      <c r="N308" s="13" t="str">
        <f aca="false">IFERROR(VALUE(TRIM(LEFT(RIGHT(M308,18),11))),"")</f>
        <v/>
      </c>
    </row>
    <row r="309" customFormat="false" ht="14.25" hidden="false" customHeight="true" outlineLevel="0" collapsed="false">
      <c r="A309" s="12" t="str">
        <f aca="false">IF(E309="","",E309)</f>
        <v/>
      </c>
      <c r="B309" s="12" t="str">
        <f aca="false">IF(J309="","",J309)</f>
        <v/>
      </c>
      <c r="C309" s="12" t="str">
        <f aca="false">IF(N309="","",N309)</f>
        <v/>
      </c>
      <c r="E309" s="13" t="str">
        <f aca="false">IFERROR(VALUE(TRIM(LEFT(RIGHT(D309,18),11))),"")</f>
        <v/>
      </c>
      <c r="J309" s="13" t="str">
        <f aca="false">IFERROR(VALUE(TRIM(LEFT(RIGHT(I309,18),11))),"")</f>
        <v/>
      </c>
      <c r="N309" s="13" t="str">
        <f aca="false">IFERROR(VALUE(TRIM(LEFT(RIGHT(M309,18),11))),"")</f>
        <v/>
      </c>
    </row>
    <row r="310" customFormat="false" ht="14.25" hidden="false" customHeight="true" outlineLevel="0" collapsed="false">
      <c r="A310" s="12" t="str">
        <f aca="false">IF(E310="","",E310)</f>
        <v/>
      </c>
      <c r="B310" s="12" t="str">
        <f aca="false">IF(J310="","",J310)</f>
        <v/>
      </c>
      <c r="C310" s="12" t="str">
        <f aca="false">IF(N310="","",N310)</f>
        <v/>
      </c>
      <c r="E310" s="13" t="str">
        <f aca="false">IFERROR(VALUE(TRIM(LEFT(RIGHT(D310,18),11))),"")</f>
        <v/>
      </c>
      <c r="J310" s="13" t="str">
        <f aca="false">IFERROR(VALUE(TRIM(LEFT(RIGHT(I310,18),11))),"")</f>
        <v/>
      </c>
      <c r="N310" s="13" t="str">
        <f aca="false">IFERROR(VALUE(TRIM(LEFT(RIGHT(M310,18),11))),"")</f>
        <v/>
      </c>
    </row>
    <row r="311" customFormat="false" ht="14.25" hidden="false" customHeight="true" outlineLevel="0" collapsed="false">
      <c r="A311" s="12" t="str">
        <f aca="false">IF(E311="","",E311)</f>
        <v/>
      </c>
      <c r="B311" s="12" t="str">
        <f aca="false">IF(J311="","",J311)</f>
        <v/>
      </c>
      <c r="C311" s="12" t="str">
        <f aca="false">IF(N311="","",N311)</f>
        <v/>
      </c>
      <c r="E311" s="13" t="str">
        <f aca="false">IFERROR(VALUE(TRIM(LEFT(RIGHT(D311,18),11))),"")</f>
        <v/>
      </c>
      <c r="J311" s="13" t="str">
        <f aca="false">IFERROR(VALUE(TRIM(LEFT(RIGHT(I311,18),11))),"")</f>
        <v/>
      </c>
      <c r="N311" s="13" t="str">
        <f aca="false">IFERROR(VALUE(TRIM(LEFT(RIGHT(M311,18),11))),"")</f>
        <v/>
      </c>
    </row>
    <row r="312" customFormat="false" ht="14.25" hidden="false" customHeight="true" outlineLevel="0" collapsed="false">
      <c r="A312" s="12" t="str">
        <f aca="false">IF(E312="","",E312)</f>
        <v/>
      </c>
      <c r="B312" s="12" t="str">
        <f aca="false">IF(J312="","",J312)</f>
        <v/>
      </c>
      <c r="C312" s="12" t="str">
        <f aca="false">IF(N312="","",N312)</f>
        <v/>
      </c>
      <c r="E312" s="13" t="str">
        <f aca="false">IFERROR(VALUE(TRIM(LEFT(RIGHT(D312,18),11))),"")</f>
        <v/>
      </c>
      <c r="J312" s="13" t="str">
        <f aca="false">IFERROR(VALUE(TRIM(LEFT(RIGHT(I312,18),11))),"")</f>
        <v/>
      </c>
      <c r="N312" s="13" t="str">
        <f aca="false">IFERROR(VALUE(TRIM(LEFT(RIGHT(M312,18),11))),"")</f>
        <v/>
      </c>
    </row>
    <row r="313" customFormat="false" ht="14.25" hidden="false" customHeight="true" outlineLevel="0" collapsed="false">
      <c r="A313" s="12" t="str">
        <f aca="false">IF(E313="","",E313)</f>
        <v/>
      </c>
      <c r="B313" s="12" t="str">
        <f aca="false">IF(J313="","",J313)</f>
        <v/>
      </c>
      <c r="C313" s="12" t="str">
        <f aca="false">IF(N313="","",N313)</f>
        <v/>
      </c>
      <c r="E313" s="13" t="str">
        <f aca="false">IFERROR(VALUE(TRIM(LEFT(RIGHT(D313,18),11))),"")</f>
        <v/>
      </c>
      <c r="J313" s="13" t="str">
        <f aca="false">IFERROR(VALUE(TRIM(LEFT(RIGHT(I313,18),11))),"")</f>
        <v/>
      </c>
      <c r="N313" s="13" t="str">
        <f aca="false">IFERROR(VALUE(TRIM(LEFT(RIGHT(M313,18),11))),"")</f>
        <v/>
      </c>
    </row>
    <row r="314" customFormat="false" ht="14.25" hidden="false" customHeight="true" outlineLevel="0" collapsed="false">
      <c r="A314" s="12" t="str">
        <f aca="false">IF(E314="","",E314)</f>
        <v/>
      </c>
      <c r="B314" s="12" t="str">
        <f aca="false">IF(J314="","",J314)</f>
        <v/>
      </c>
      <c r="C314" s="12" t="str">
        <f aca="false">IF(N314="","",N314)</f>
        <v/>
      </c>
      <c r="E314" s="13" t="str">
        <f aca="false">IFERROR(VALUE(TRIM(LEFT(RIGHT(D314,18),11))),"")</f>
        <v/>
      </c>
      <c r="J314" s="13" t="str">
        <f aca="false">IFERROR(VALUE(TRIM(LEFT(RIGHT(I314,18),11))),"")</f>
        <v/>
      </c>
      <c r="N314" s="13" t="str">
        <f aca="false">IFERROR(VALUE(TRIM(LEFT(RIGHT(M314,18),11))),"")</f>
        <v/>
      </c>
    </row>
    <row r="315" customFormat="false" ht="14.25" hidden="false" customHeight="true" outlineLevel="0" collapsed="false">
      <c r="A315" s="12" t="str">
        <f aca="false">IF(E315="","",E315)</f>
        <v/>
      </c>
      <c r="B315" s="12" t="str">
        <f aca="false">IF(J315="","",J315)</f>
        <v/>
      </c>
      <c r="C315" s="12" t="str">
        <f aca="false">IF(N315="","",N315)</f>
        <v/>
      </c>
      <c r="E315" s="13" t="str">
        <f aca="false">IFERROR(VALUE(TRIM(LEFT(RIGHT(D315,18),11))),"")</f>
        <v/>
      </c>
      <c r="J315" s="13" t="str">
        <f aca="false">IFERROR(VALUE(TRIM(LEFT(RIGHT(I315,18),11))),"")</f>
        <v/>
      </c>
      <c r="N315" s="13" t="str">
        <f aca="false">IFERROR(VALUE(TRIM(LEFT(RIGHT(M315,18),11))),"")</f>
        <v/>
      </c>
    </row>
    <row r="316" customFormat="false" ht="14.25" hidden="false" customHeight="true" outlineLevel="0" collapsed="false">
      <c r="A316" s="12" t="str">
        <f aca="false">IF(E316="","",E316)</f>
        <v/>
      </c>
      <c r="B316" s="12" t="str">
        <f aca="false">IF(J316="","",J316)</f>
        <v/>
      </c>
      <c r="C316" s="12" t="str">
        <f aca="false">IF(N316="","",N316)</f>
        <v/>
      </c>
      <c r="E316" s="13" t="str">
        <f aca="false">IFERROR(VALUE(TRIM(LEFT(RIGHT(D316,18),11))),"")</f>
        <v/>
      </c>
      <c r="J316" s="13" t="str">
        <f aca="false">IFERROR(VALUE(TRIM(LEFT(RIGHT(I316,18),11))),"")</f>
        <v/>
      </c>
      <c r="N316" s="13" t="str">
        <f aca="false">IFERROR(VALUE(TRIM(LEFT(RIGHT(M316,18),11))),"")</f>
        <v/>
      </c>
    </row>
    <row r="317" customFormat="false" ht="14.25" hidden="false" customHeight="true" outlineLevel="0" collapsed="false">
      <c r="A317" s="12" t="str">
        <f aca="false">IF(E317="","",E317)</f>
        <v/>
      </c>
      <c r="B317" s="12" t="str">
        <f aca="false">IF(J317="","",J317)</f>
        <v/>
      </c>
      <c r="C317" s="12" t="str">
        <f aca="false">IF(N317="","",N317)</f>
        <v/>
      </c>
      <c r="E317" s="13" t="str">
        <f aca="false">IFERROR(VALUE(TRIM(LEFT(RIGHT(D317,18),11))),"")</f>
        <v/>
      </c>
      <c r="J317" s="13" t="str">
        <f aca="false">IFERROR(VALUE(TRIM(LEFT(RIGHT(I317,18),11))),"")</f>
        <v/>
      </c>
      <c r="N317" s="13" t="str">
        <f aca="false">IFERROR(VALUE(TRIM(LEFT(RIGHT(M317,18),11))),"")</f>
        <v/>
      </c>
    </row>
    <row r="318" customFormat="false" ht="14.25" hidden="false" customHeight="true" outlineLevel="0" collapsed="false">
      <c r="A318" s="12" t="str">
        <f aca="false">IF(E318="","",E318)</f>
        <v/>
      </c>
      <c r="B318" s="12" t="str">
        <f aca="false">IF(J318="","",J318)</f>
        <v/>
      </c>
      <c r="C318" s="12" t="str">
        <f aca="false">IF(N318="","",N318)</f>
        <v/>
      </c>
      <c r="E318" s="13" t="str">
        <f aca="false">IFERROR(VALUE(TRIM(LEFT(RIGHT(D318,18),11))),"")</f>
        <v/>
      </c>
      <c r="J318" s="13" t="str">
        <f aca="false">IFERROR(VALUE(TRIM(LEFT(RIGHT(I318,18),11))),"")</f>
        <v/>
      </c>
      <c r="N318" s="13" t="str">
        <f aca="false">IFERROR(VALUE(TRIM(LEFT(RIGHT(M318,18),11))),"")</f>
        <v/>
      </c>
    </row>
    <row r="319" customFormat="false" ht="14.25" hidden="false" customHeight="true" outlineLevel="0" collapsed="false">
      <c r="A319" s="12" t="str">
        <f aca="false">IF(E319="","",E319)</f>
        <v/>
      </c>
      <c r="B319" s="12" t="str">
        <f aca="false">IF(J319="","",J319)</f>
        <v/>
      </c>
      <c r="C319" s="12" t="str">
        <f aca="false">IF(N319="","",N319)</f>
        <v/>
      </c>
      <c r="E319" s="13" t="str">
        <f aca="false">IFERROR(VALUE(TRIM(LEFT(RIGHT(D319,18),11))),"")</f>
        <v/>
      </c>
      <c r="J319" s="13" t="str">
        <f aca="false">IFERROR(VALUE(TRIM(LEFT(RIGHT(I319,18),11))),"")</f>
        <v/>
      </c>
      <c r="N319" s="13" t="str">
        <f aca="false">IFERROR(VALUE(TRIM(LEFT(RIGHT(M319,18),11))),"")</f>
        <v/>
      </c>
    </row>
    <row r="320" customFormat="false" ht="14.25" hidden="false" customHeight="true" outlineLevel="0" collapsed="false">
      <c r="A320" s="12" t="str">
        <f aca="false">IF(E320="","",E320)</f>
        <v/>
      </c>
      <c r="B320" s="12" t="str">
        <f aca="false">IF(J320="","",J320)</f>
        <v/>
      </c>
      <c r="C320" s="12" t="str">
        <f aca="false">IF(N320="","",N320)</f>
        <v/>
      </c>
      <c r="E320" s="13" t="str">
        <f aca="false">IFERROR(VALUE(TRIM(LEFT(RIGHT(D320,18),11))),"")</f>
        <v/>
      </c>
      <c r="J320" s="13" t="str">
        <f aca="false">IFERROR(VALUE(TRIM(LEFT(RIGHT(I320,18),11))),"")</f>
        <v/>
      </c>
      <c r="N320" s="13" t="str">
        <f aca="false">IFERROR(VALUE(TRIM(LEFT(RIGHT(M320,18),11))),"")</f>
        <v/>
      </c>
    </row>
    <row r="321" customFormat="false" ht="14.25" hidden="false" customHeight="true" outlineLevel="0" collapsed="false">
      <c r="A321" s="12" t="str">
        <f aca="false">IF(E321="","",E321)</f>
        <v/>
      </c>
      <c r="B321" s="12" t="str">
        <f aca="false">IF(J321="","",J321)</f>
        <v/>
      </c>
      <c r="C321" s="12" t="str">
        <f aca="false">IF(N321="","",N321)</f>
        <v/>
      </c>
      <c r="E321" s="13" t="str">
        <f aca="false">IFERROR(VALUE(TRIM(LEFT(RIGHT(D321,18),11))),"")</f>
        <v/>
      </c>
      <c r="J321" s="13" t="str">
        <f aca="false">IFERROR(VALUE(TRIM(LEFT(RIGHT(I321,18),11))),"")</f>
        <v/>
      </c>
      <c r="N321" s="13" t="str">
        <f aca="false">IFERROR(VALUE(TRIM(LEFT(RIGHT(M321,18),11))),"")</f>
        <v/>
      </c>
    </row>
    <row r="322" customFormat="false" ht="14.25" hidden="false" customHeight="true" outlineLevel="0" collapsed="false">
      <c r="A322" s="12" t="str">
        <f aca="false">IF(E322="","",E322)</f>
        <v/>
      </c>
      <c r="B322" s="12" t="str">
        <f aca="false">IF(J322="","",J322)</f>
        <v/>
      </c>
      <c r="C322" s="12" t="str">
        <f aca="false">IF(N322="","",N322)</f>
        <v/>
      </c>
      <c r="E322" s="13" t="str">
        <f aca="false">IFERROR(VALUE(TRIM(LEFT(RIGHT(D322,18),11))),"")</f>
        <v/>
      </c>
      <c r="J322" s="13" t="str">
        <f aca="false">IFERROR(VALUE(TRIM(LEFT(RIGHT(I322,18),11))),"")</f>
        <v/>
      </c>
      <c r="N322" s="13" t="str">
        <f aca="false">IFERROR(VALUE(TRIM(LEFT(RIGHT(M322,18),11))),"")</f>
        <v/>
      </c>
    </row>
    <row r="323" customFormat="false" ht="14.25" hidden="false" customHeight="true" outlineLevel="0" collapsed="false">
      <c r="A323" s="12" t="str">
        <f aca="false">IF(E323="","",E323)</f>
        <v/>
      </c>
      <c r="B323" s="12" t="str">
        <f aca="false">IF(J323="","",J323)</f>
        <v/>
      </c>
      <c r="C323" s="12" t="str">
        <f aca="false">IF(N323="","",N323)</f>
        <v/>
      </c>
      <c r="E323" s="13" t="str">
        <f aca="false">IFERROR(VALUE(TRIM(LEFT(RIGHT(D323,18),11))),"")</f>
        <v/>
      </c>
      <c r="J323" s="13" t="str">
        <f aca="false">IFERROR(VALUE(TRIM(LEFT(RIGHT(I323,18),11))),"")</f>
        <v/>
      </c>
      <c r="N323" s="13" t="str">
        <f aca="false">IFERROR(VALUE(TRIM(LEFT(RIGHT(M323,18),11))),"")</f>
        <v/>
      </c>
    </row>
    <row r="324" customFormat="false" ht="14.25" hidden="false" customHeight="true" outlineLevel="0" collapsed="false">
      <c r="A324" s="12" t="str">
        <f aca="false">IF(E324="","",E324)</f>
        <v/>
      </c>
      <c r="B324" s="12" t="str">
        <f aca="false">IF(J324="","",J324)</f>
        <v/>
      </c>
      <c r="C324" s="12" t="str">
        <f aca="false">IF(N324="","",N324)</f>
        <v/>
      </c>
      <c r="E324" s="13" t="str">
        <f aca="false">IFERROR(VALUE(TRIM(LEFT(RIGHT(D324,18),11))),"")</f>
        <v/>
      </c>
      <c r="J324" s="13" t="str">
        <f aca="false">IFERROR(VALUE(TRIM(LEFT(RIGHT(I324,18),11))),"")</f>
        <v/>
      </c>
      <c r="N324" s="13" t="str">
        <f aca="false">IFERROR(VALUE(TRIM(LEFT(RIGHT(M324,18),11))),"")</f>
        <v/>
      </c>
    </row>
    <row r="325" customFormat="false" ht="14.25" hidden="false" customHeight="true" outlineLevel="0" collapsed="false">
      <c r="A325" s="12" t="str">
        <f aca="false">IF(E325="","",E325)</f>
        <v/>
      </c>
      <c r="B325" s="12" t="str">
        <f aca="false">IF(J325="","",J325)</f>
        <v/>
      </c>
      <c r="C325" s="12" t="str">
        <f aca="false">IF(N325="","",N325)</f>
        <v/>
      </c>
      <c r="E325" s="13" t="str">
        <f aca="false">IFERROR(VALUE(TRIM(LEFT(RIGHT(D325,18),11))),"")</f>
        <v/>
      </c>
      <c r="J325" s="13" t="str">
        <f aca="false">IFERROR(VALUE(TRIM(LEFT(RIGHT(I325,18),11))),"")</f>
        <v/>
      </c>
      <c r="N325" s="13" t="str">
        <f aca="false">IFERROR(VALUE(TRIM(LEFT(RIGHT(M325,18),11))),"")</f>
        <v/>
      </c>
    </row>
    <row r="326" customFormat="false" ht="14.25" hidden="false" customHeight="true" outlineLevel="0" collapsed="false">
      <c r="A326" s="12" t="str">
        <f aca="false">IF(E326="","",E326)</f>
        <v/>
      </c>
      <c r="B326" s="12" t="str">
        <f aca="false">IF(J326="","",J326)</f>
        <v/>
      </c>
      <c r="C326" s="12" t="str">
        <f aca="false">IF(N326="","",N326)</f>
        <v/>
      </c>
      <c r="E326" s="13" t="str">
        <f aca="false">IFERROR(VALUE(TRIM(LEFT(RIGHT(D326,18),11))),"")</f>
        <v/>
      </c>
      <c r="J326" s="13" t="str">
        <f aca="false">IFERROR(VALUE(TRIM(LEFT(RIGHT(I326,18),11))),"")</f>
        <v/>
      </c>
      <c r="N326" s="13" t="str">
        <f aca="false">IFERROR(VALUE(TRIM(LEFT(RIGHT(M326,18),11))),"")</f>
        <v/>
      </c>
    </row>
    <row r="327" customFormat="false" ht="14.25" hidden="false" customHeight="true" outlineLevel="0" collapsed="false">
      <c r="A327" s="12" t="str">
        <f aca="false">IF(E327="","",E327)</f>
        <v/>
      </c>
      <c r="B327" s="12" t="str">
        <f aca="false">IF(J327="","",J327)</f>
        <v/>
      </c>
      <c r="C327" s="12" t="str">
        <f aca="false">IF(N327="","",N327)</f>
        <v/>
      </c>
      <c r="E327" s="13" t="str">
        <f aca="false">IFERROR(VALUE(TRIM(LEFT(RIGHT(D327,18),11))),"")</f>
        <v/>
      </c>
      <c r="J327" s="13" t="str">
        <f aca="false">IFERROR(VALUE(TRIM(LEFT(RIGHT(I327,18),11))),"")</f>
        <v/>
      </c>
      <c r="N327" s="13" t="str">
        <f aca="false">IFERROR(VALUE(TRIM(LEFT(RIGHT(M327,18),11))),"")</f>
        <v/>
      </c>
    </row>
    <row r="328" customFormat="false" ht="14.25" hidden="false" customHeight="true" outlineLevel="0" collapsed="false">
      <c r="A328" s="12" t="str">
        <f aca="false">IF(E328="","",E328)</f>
        <v/>
      </c>
      <c r="B328" s="12" t="str">
        <f aca="false">IF(J328="","",J328)</f>
        <v/>
      </c>
      <c r="C328" s="12" t="str">
        <f aca="false">IF(N328="","",N328)</f>
        <v/>
      </c>
      <c r="E328" s="13" t="str">
        <f aca="false">IFERROR(VALUE(TRIM(LEFT(RIGHT(D328,18),11))),"")</f>
        <v/>
      </c>
      <c r="J328" s="13" t="str">
        <f aca="false">IFERROR(VALUE(TRIM(LEFT(RIGHT(I328,18),11))),"")</f>
        <v/>
      </c>
      <c r="N328" s="13" t="str">
        <f aca="false">IFERROR(VALUE(TRIM(LEFT(RIGHT(M328,18),11))),"")</f>
        <v/>
      </c>
    </row>
    <row r="329" customFormat="false" ht="14.25" hidden="false" customHeight="true" outlineLevel="0" collapsed="false">
      <c r="A329" s="12" t="str">
        <f aca="false">IF(E329="","",E329)</f>
        <v/>
      </c>
      <c r="B329" s="12" t="str">
        <f aca="false">IF(J329="","",J329)</f>
        <v/>
      </c>
      <c r="C329" s="12" t="str">
        <f aca="false">IF(N329="","",N329)</f>
        <v/>
      </c>
      <c r="E329" s="13" t="str">
        <f aca="false">IFERROR(VALUE(TRIM(LEFT(RIGHT(D329,18),11))),"")</f>
        <v/>
      </c>
      <c r="J329" s="13" t="str">
        <f aca="false">IFERROR(VALUE(TRIM(LEFT(RIGHT(I329,18),11))),"")</f>
        <v/>
      </c>
      <c r="N329" s="13" t="str">
        <f aca="false">IFERROR(VALUE(TRIM(LEFT(RIGHT(M329,18),11))),"")</f>
        <v/>
      </c>
    </row>
    <row r="330" customFormat="false" ht="14.25" hidden="false" customHeight="true" outlineLevel="0" collapsed="false">
      <c r="A330" s="12" t="str">
        <f aca="false">IF(E330="","",E330)</f>
        <v/>
      </c>
      <c r="B330" s="12" t="str">
        <f aca="false">IF(J330="","",J330)</f>
        <v/>
      </c>
      <c r="C330" s="12" t="str">
        <f aca="false">IF(N330="","",N330)</f>
        <v/>
      </c>
      <c r="E330" s="13" t="str">
        <f aca="false">IFERROR(VALUE(TRIM(LEFT(RIGHT(D330,18),11))),"")</f>
        <v/>
      </c>
      <c r="J330" s="13" t="str">
        <f aca="false">IFERROR(VALUE(TRIM(LEFT(RIGHT(I330,18),11))),"")</f>
        <v/>
      </c>
      <c r="N330" s="13" t="str">
        <f aca="false">IFERROR(VALUE(TRIM(LEFT(RIGHT(M330,18),11))),"")</f>
        <v/>
      </c>
    </row>
    <row r="331" customFormat="false" ht="14.25" hidden="false" customHeight="true" outlineLevel="0" collapsed="false">
      <c r="A331" s="12" t="str">
        <f aca="false">IF(E331="","",E331)</f>
        <v/>
      </c>
      <c r="B331" s="12" t="str">
        <f aca="false">IF(J331="","",J331)</f>
        <v/>
      </c>
      <c r="C331" s="12" t="str">
        <f aca="false">IF(N331="","",N331)</f>
        <v/>
      </c>
      <c r="E331" s="13" t="str">
        <f aca="false">IFERROR(VALUE(TRIM(LEFT(RIGHT(D331,18),11))),"")</f>
        <v/>
      </c>
      <c r="J331" s="13" t="str">
        <f aca="false">IFERROR(VALUE(TRIM(LEFT(RIGHT(I331,18),11))),"")</f>
        <v/>
      </c>
      <c r="N331" s="13" t="str">
        <f aca="false">IFERROR(VALUE(TRIM(LEFT(RIGHT(M331,18),11))),"")</f>
        <v/>
      </c>
    </row>
    <row r="332" customFormat="false" ht="14.25" hidden="false" customHeight="true" outlineLevel="0" collapsed="false">
      <c r="A332" s="12" t="str">
        <f aca="false">IF(E332="","",E332)</f>
        <v/>
      </c>
      <c r="B332" s="12" t="str">
        <f aca="false">IF(J332="","",J332)</f>
        <v/>
      </c>
      <c r="C332" s="12" t="str">
        <f aca="false">IF(N332="","",N332)</f>
        <v/>
      </c>
      <c r="E332" s="13" t="str">
        <f aca="false">IFERROR(VALUE(TRIM(LEFT(RIGHT(D332,18),11))),"")</f>
        <v/>
      </c>
      <c r="J332" s="13" t="str">
        <f aca="false">IFERROR(VALUE(TRIM(LEFT(RIGHT(I332,18),11))),"")</f>
        <v/>
      </c>
      <c r="N332" s="13" t="str">
        <f aca="false">IFERROR(VALUE(TRIM(LEFT(RIGHT(M332,18),11))),"")</f>
        <v/>
      </c>
    </row>
    <row r="333" customFormat="false" ht="14.25" hidden="false" customHeight="true" outlineLevel="0" collapsed="false">
      <c r="A333" s="12" t="str">
        <f aca="false">IF(E333="","",E333)</f>
        <v/>
      </c>
      <c r="B333" s="12" t="str">
        <f aca="false">IF(J333="","",J333)</f>
        <v/>
      </c>
      <c r="C333" s="12" t="str">
        <f aca="false">IF(N333="","",N333)</f>
        <v/>
      </c>
      <c r="E333" s="13" t="str">
        <f aca="false">IFERROR(VALUE(TRIM(LEFT(RIGHT(D333,18),11))),"")</f>
        <v/>
      </c>
      <c r="J333" s="13" t="str">
        <f aca="false">IFERROR(VALUE(TRIM(LEFT(RIGHT(I333,18),11))),"")</f>
        <v/>
      </c>
      <c r="N333" s="13" t="str">
        <f aca="false">IFERROR(VALUE(TRIM(LEFT(RIGHT(M333,18),11))),"")</f>
        <v/>
      </c>
    </row>
    <row r="334" customFormat="false" ht="14.25" hidden="false" customHeight="true" outlineLevel="0" collapsed="false">
      <c r="A334" s="12" t="str">
        <f aca="false">IF(E334="","",E334)</f>
        <v/>
      </c>
      <c r="B334" s="12" t="str">
        <f aca="false">IF(J334="","",J334)</f>
        <v/>
      </c>
      <c r="C334" s="12" t="str">
        <f aca="false">IF(N334="","",N334)</f>
        <v/>
      </c>
      <c r="E334" s="13" t="str">
        <f aca="false">IFERROR(VALUE(TRIM(LEFT(RIGHT(D334,18),11))),"")</f>
        <v/>
      </c>
      <c r="J334" s="13" t="str">
        <f aca="false">IFERROR(VALUE(TRIM(LEFT(RIGHT(I334,18),11))),"")</f>
        <v/>
      </c>
      <c r="N334" s="13" t="str">
        <f aca="false">IFERROR(VALUE(TRIM(LEFT(RIGHT(M334,18),11))),"")</f>
        <v/>
      </c>
    </row>
    <row r="335" customFormat="false" ht="14.25" hidden="false" customHeight="true" outlineLevel="0" collapsed="false">
      <c r="A335" s="12" t="str">
        <f aca="false">IF(E335="","",E335)</f>
        <v/>
      </c>
      <c r="B335" s="12" t="str">
        <f aca="false">IF(J335="","",J335)</f>
        <v/>
      </c>
      <c r="C335" s="12" t="str">
        <f aca="false">IF(N335="","",N335)</f>
        <v/>
      </c>
      <c r="E335" s="13" t="str">
        <f aca="false">IFERROR(VALUE(TRIM(LEFT(RIGHT(D335,18),11))),"")</f>
        <v/>
      </c>
      <c r="J335" s="13" t="str">
        <f aca="false">IFERROR(VALUE(TRIM(LEFT(RIGHT(I335,18),11))),"")</f>
        <v/>
      </c>
      <c r="N335" s="13" t="str">
        <f aca="false">IFERROR(VALUE(TRIM(LEFT(RIGHT(M335,18),11))),"")</f>
        <v/>
      </c>
    </row>
    <row r="336" customFormat="false" ht="14.25" hidden="false" customHeight="true" outlineLevel="0" collapsed="false">
      <c r="A336" s="12" t="str">
        <f aca="false">IF(E336="","",E336)</f>
        <v/>
      </c>
      <c r="B336" s="12" t="str">
        <f aca="false">IF(J336="","",J336)</f>
        <v/>
      </c>
      <c r="C336" s="12" t="str">
        <f aca="false">IF(N336="","",N336)</f>
        <v/>
      </c>
      <c r="E336" s="13" t="str">
        <f aca="false">IFERROR(VALUE(TRIM(LEFT(RIGHT(D336,18),11))),"")</f>
        <v/>
      </c>
      <c r="J336" s="13" t="str">
        <f aca="false">IFERROR(VALUE(TRIM(LEFT(RIGHT(I336,18),11))),"")</f>
        <v/>
      </c>
      <c r="N336" s="13" t="str">
        <f aca="false">IFERROR(VALUE(TRIM(LEFT(RIGHT(M336,18),11))),"")</f>
        <v/>
      </c>
    </row>
    <row r="337" customFormat="false" ht="14.25" hidden="false" customHeight="true" outlineLevel="0" collapsed="false">
      <c r="A337" s="12" t="str">
        <f aca="false">IF(E337="","",E337)</f>
        <v/>
      </c>
      <c r="B337" s="12" t="str">
        <f aca="false">IF(J337="","",J337)</f>
        <v/>
      </c>
      <c r="C337" s="12" t="str">
        <f aca="false">IF(N337="","",N337)</f>
        <v/>
      </c>
      <c r="E337" s="13" t="str">
        <f aca="false">IFERROR(VALUE(TRIM(LEFT(RIGHT(D337,18),11))),"")</f>
        <v/>
      </c>
      <c r="J337" s="13" t="str">
        <f aca="false">IFERROR(VALUE(TRIM(LEFT(RIGHT(I337,18),11))),"")</f>
        <v/>
      </c>
      <c r="N337" s="13" t="str">
        <f aca="false">IFERROR(VALUE(TRIM(LEFT(RIGHT(M337,18),11))),"")</f>
        <v/>
      </c>
    </row>
    <row r="338" customFormat="false" ht="14.25" hidden="false" customHeight="true" outlineLevel="0" collapsed="false">
      <c r="A338" s="12" t="str">
        <f aca="false">IF(E338="","",E338)</f>
        <v/>
      </c>
      <c r="B338" s="12" t="str">
        <f aca="false">IF(J338="","",J338)</f>
        <v/>
      </c>
      <c r="C338" s="12" t="str">
        <f aca="false">IF(N338="","",N338)</f>
        <v/>
      </c>
      <c r="E338" s="13" t="str">
        <f aca="false">IFERROR(VALUE(TRIM(LEFT(RIGHT(D338,18),11))),"")</f>
        <v/>
      </c>
      <c r="J338" s="13" t="str">
        <f aca="false">IFERROR(VALUE(TRIM(LEFT(RIGHT(I338,18),11))),"")</f>
        <v/>
      </c>
      <c r="N338" s="13" t="str">
        <f aca="false">IFERROR(VALUE(TRIM(LEFT(RIGHT(M338,18),11))),"")</f>
        <v/>
      </c>
    </row>
    <row r="339" customFormat="false" ht="14.25" hidden="false" customHeight="true" outlineLevel="0" collapsed="false">
      <c r="A339" s="12" t="str">
        <f aca="false">IF(E339="","",E339)</f>
        <v/>
      </c>
      <c r="B339" s="12" t="str">
        <f aca="false">IF(J339="","",J339)</f>
        <v/>
      </c>
      <c r="C339" s="12" t="str">
        <f aca="false">IF(N339="","",N339)</f>
        <v/>
      </c>
      <c r="E339" s="13" t="str">
        <f aca="false">IFERROR(VALUE(TRIM(LEFT(RIGHT(D339,18),11))),"")</f>
        <v/>
      </c>
      <c r="J339" s="13" t="str">
        <f aca="false">IFERROR(VALUE(TRIM(LEFT(RIGHT(I339,18),11))),"")</f>
        <v/>
      </c>
      <c r="N339" s="13" t="str">
        <f aca="false">IFERROR(VALUE(TRIM(LEFT(RIGHT(M339,18),11))),"")</f>
        <v/>
      </c>
    </row>
    <row r="340" customFormat="false" ht="14.25" hidden="false" customHeight="true" outlineLevel="0" collapsed="false">
      <c r="A340" s="12" t="str">
        <f aca="false">IF(E340="","",E340)</f>
        <v/>
      </c>
      <c r="B340" s="12" t="str">
        <f aca="false">IF(J340="","",J340)</f>
        <v/>
      </c>
      <c r="C340" s="12" t="str">
        <f aca="false">IF(N340="","",N340)</f>
        <v/>
      </c>
      <c r="E340" s="13" t="str">
        <f aca="false">IFERROR(VALUE(TRIM(LEFT(RIGHT(D340,18),11))),"")</f>
        <v/>
      </c>
      <c r="J340" s="13" t="str">
        <f aca="false">IFERROR(VALUE(TRIM(LEFT(RIGHT(I340,18),11))),"")</f>
        <v/>
      </c>
      <c r="N340" s="13" t="str">
        <f aca="false">IFERROR(VALUE(TRIM(LEFT(RIGHT(M340,18),11))),"")</f>
        <v/>
      </c>
    </row>
    <row r="341" customFormat="false" ht="14.25" hidden="false" customHeight="true" outlineLevel="0" collapsed="false">
      <c r="A341" s="12" t="str">
        <f aca="false">IF(E341="","",E341)</f>
        <v/>
      </c>
      <c r="B341" s="12" t="str">
        <f aca="false">IF(J341="","",J341)</f>
        <v/>
      </c>
      <c r="C341" s="12" t="str">
        <f aca="false">IF(N341="","",N341)</f>
        <v/>
      </c>
      <c r="E341" s="13" t="str">
        <f aca="false">IFERROR(VALUE(TRIM(LEFT(RIGHT(D341,18),11))),"")</f>
        <v/>
      </c>
      <c r="J341" s="13" t="str">
        <f aca="false">IFERROR(VALUE(TRIM(LEFT(RIGHT(I341,18),11))),"")</f>
        <v/>
      </c>
      <c r="N341" s="13" t="str">
        <f aca="false">IFERROR(VALUE(TRIM(LEFT(RIGHT(M341,18),11))),"")</f>
        <v/>
      </c>
    </row>
    <row r="342" customFormat="false" ht="14.25" hidden="false" customHeight="true" outlineLevel="0" collapsed="false">
      <c r="A342" s="12" t="str">
        <f aca="false">IF(E342="","",E342)</f>
        <v/>
      </c>
      <c r="B342" s="12" t="str">
        <f aca="false">IF(J342="","",J342)</f>
        <v/>
      </c>
      <c r="C342" s="12" t="str">
        <f aca="false">IF(N342="","",N342)</f>
        <v/>
      </c>
      <c r="E342" s="13" t="str">
        <f aca="false">IFERROR(VALUE(TRIM(LEFT(RIGHT(D342,18),11))),"")</f>
        <v/>
      </c>
      <c r="J342" s="13" t="str">
        <f aca="false">IFERROR(VALUE(TRIM(LEFT(RIGHT(I342,18),11))),"")</f>
        <v/>
      </c>
      <c r="N342" s="13" t="str">
        <f aca="false">IFERROR(VALUE(TRIM(LEFT(RIGHT(M342,18),11))),"")</f>
        <v/>
      </c>
    </row>
    <row r="343" customFormat="false" ht="14.25" hidden="false" customHeight="true" outlineLevel="0" collapsed="false">
      <c r="A343" s="12" t="str">
        <f aca="false">IF(E343="","",E343)</f>
        <v/>
      </c>
      <c r="B343" s="12" t="str">
        <f aca="false">IF(J343="","",J343)</f>
        <v/>
      </c>
      <c r="C343" s="12" t="str">
        <f aca="false">IF(N343="","",N343)</f>
        <v/>
      </c>
      <c r="E343" s="13" t="str">
        <f aca="false">IFERROR(VALUE(TRIM(LEFT(RIGHT(D343,18),11))),"")</f>
        <v/>
      </c>
      <c r="J343" s="13" t="str">
        <f aca="false">IFERROR(VALUE(TRIM(LEFT(RIGHT(I343,18),11))),"")</f>
        <v/>
      </c>
      <c r="N343" s="13" t="str">
        <f aca="false">IFERROR(VALUE(TRIM(LEFT(RIGHT(M343,18),11))),"")</f>
        <v/>
      </c>
    </row>
    <row r="344" customFormat="false" ht="14.25" hidden="false" customHeight="true" outlineLevel="0" collapsed="false">
      <c r="A344" s="12" t="str">
        <f aca="false">IF(E344="","",E344)</f>
        <v/>
      </c>
      <c r="B344" s="12" t="str">
        <f aca="false">IF(J344="","",J344)</f>
        <v/>
      </c>
      <c r="C344" s="12" t="str">
        <f aca="false">IF(N344="","",N344)</f>
        <v/>
      </c>
      <c r="E344" s="13" t="str">
        <f aca="false">IFERROR(VALUE(TRIM(LEFT(RIGHT(D344,18),11))),"")</f>
        <v/>
      </c>
      <c r="J344" s="13" t="str">
        <f aca="false">IFERROR(VALUE(TRIM(LEFT(RIGHT(I344,18),11))),"")</f>
        <v/>
      </c>
      <c r="N344" s="13" t="str">
        <f aca="false">IFERROR(VALUE(TRIM(LEFT(RIGHT(M344,18),11))),"")</f>
        <v/>
      </c>
    </row>
    <row r="345" customFormat="false" ht="14.25" hidden="false" customHeight="true" outlineLevel="0" collapsed="false">
      <c r="A345" s="12" t="str">
        <f aca="false">IF(E345="","",E345)</f>
        <v/>
      </c>
      <c r="B345" s="12" t="str">
        <f aca="false">IF(J345="","",J345)</f>
        <v/>
      </c>
      <c r="C345" s="12" t="str">
        <f aca="false">IF(N345="","",N345)</f>
        <v/>
      </c>
      <c r="E345" s="13" t="str">
        <f aca="false">IFERROR(VALUE(TRIM(LEFT(RIGHT(D345,18),11))),"")</f>
        <v/>
      </c>
      <c r="J345" s="13" t="str">
        <f aca="false">IFERROR(VALUE(TRIM(LEFT(RIGHT(I345,18),11))),"")</f>
        <v/>
      </c>
      <c r="N345" s="13" t="str">
        <f aca="false">IFERROR(VALUE(TRIM(LEFT(RIGHT(M345,18),11))),"")</f>
        <v/>
      </c>
    </row>
    <row r="346" customFormat="false" ht="14.25" hidden="false" customHeight="true" outlineLevel="0" collapsed="false">
      <c r="A346" s="12" t="str">
        <f aca="false">IF(E346="","",E346)</f>
        <v/>
      </c>
      <c r="B346" s="12" t="str">
        <f aca="false">IF(J346="","",J346)</f>
        <v/>
      </c>
      <c r="C346" s="12" t="str">
        <f aca="false">IF(N346="","",N346)</f>
        <v/>
      </c>
      <c r="E346" s="13" t="str">
        <f aca="false">IFERROR(VALUE(TRIM(LEFT(RIGHT(D346,18),11))),"")</f>
        <v/>
      </c>
      <c r="J346" s="13" t="str">
        <f aca="false">IFERROR(VALUE(TRIM(LEFT(RIGHT(I346,18),11))),"")</f>
        <v/>
      </c>
      <c r="N346" s="13" t="str">
        <f aca="false">IFERROR(VALUE(TRIM(LEFT(RIGHT(M346,18),11))),"")</f>
        <v/>
      </c>
    </row>
    <row r="347" customFormat="false" ht="14.25" hidden="false" customHeight="true" outlineLevel="0" collapsed="false">
      <c r="A347" s="12" t="str">
        <f aca="false">IF(E347="","",E347)</f>
        <v/>
      </c>
      <c r="B347" s="12" t="str">
        <f aca="false">IF(J347="","",J347)</f>
        <v/>
      </c>
      <c r="C347" s="12" t="str">
        <f aca="false">IF(N347="","",N347)</f>
        <v/>
      </c>
      <c r="E347" s="13" t="str">
        <f aca="false">IFERROR(VALUE(TRIM(LEFT(RIGHT(D347,18),11))),"")</f>
        <v/>
      </c>
      <c r="J347" s="13" t="str">
        <f aca="false">IFERROR(VALUE(TRIM(LEFT(RIGHT(I347,18),11))),"")</f>
        <v/>
      </c>
      <c r="N347" s="13" t="str">
        <f aca="false">IFERROR(VALUE(TRIM(LEFT(RIGHT(M347,18),11))),"")</f>
        <v/>
      </c>
    </row>
    <row r="348" customFormat="false" ht="14.25" hidden="false" customHeight="true" outlineLevel="0" collapsed="false">
      <c r="A348" s="12" t="str">
        <f aca="false">IF(E348="","",E348)</f>
        <v/>
      </c>
      <c r="B348" s="12" t="str">
        <f aca="false">IF(J348="","",J348)</f>
        <v/>
      </c>
      <c r="C348" s="12" t="str">
        <f aca="false">IF(N348="","",N348)</f>
        <v/>
      </c>
      <c r="E348" s="13" t="str">
        <f aca="false">IFERROR(VALUE(TRIM(LEFT(RIGHT(D348,18),11))),"")</f>
        <v/>
      </c>
      <c r="J348" s="13" t="str">
        <f aca="false">IFERROR(VALUE(TRIM(LEFT(RIGHT(I348,18),11))),"")</f>
        <v/>
      </c>
      <c r="N348" s="13" t="str">
        <f aca="false">IFERROR(VALUE(TRIM(LEFT(RIGHT(M348,18),11))),"")</f>
        <v/>
      </c>
    </row>
    <row r="349" customFormat="false" ht="14.25" hidden="false" customHeight="true" outlineLevel="0" collapsed="false">
      <c r="A349" s="12" t="str">
        <f aca="false">IF(E349="","",E349)</f>
        <v/>
      </c>
      <c r="B349" s="12" t="str">
        <f aca="false">IF(J349="","",J349)</f>
        <v/>
      </c>
      <c r="C349" s="12" t="str">
        <f aca="false">IF(N349="","",N349)</f>
        <v/>
      </c>
      <c r="E349" s="13" t="str">
        <f aca="false">IFERROR(VALUE(TRIM(LEFT(RIGHT(D349,18),11))),"")</f>
        <v/>
      </c>
      <c r="J349" s="13" t="str">
        <f aca="false">IFERROR(VALUE(TRIM(LEFT(RIGHT(I349,18),11))),"")</f>
        <v/>
      </c>
      <c r="N349" s="13" t="str">
        <f aca="false">IFERROR(VALUE(TRIM(LEFT(RIGHT(M349,18),11))),"")</f>
        <v/>
      </c>
    </row>
    <row r="350" customFormat="false" ht="14.25" hidden="false" customHeight="true" outlineLevel="0" collapsed="false">
      <c r="A350" s="12" t="str">
        <f aca="false">IF(E350="","",E350)</f>
        <v/>
      </c>
      <c r="B350" s="12" t="str">
        <f aca="false">IF(J350="","",J350)</f>
        <v/>
      </c>
      <c r="C350" s="12" t="str">
        <f aca="false">IF(N350="","",N350)</f>
        <v/>
      </c>
      <c r="E350" s="13" t="str">
        <f aca="false">IFERROR(VALUE(TRIM(LEFT(RIGHT(D350,18),11))),"")</f>
        <v/>
      </c>
      <c r="J350" s="13" t="str">
        <f aca="false">IFERROR(VALUE(TRIM(LEFT(RIGHT(I350,18),11))),"")</f>
        <v/>
      </c>
      <c r="N350" s="13" t="str">
        <f aca="false">IFERROR(VALUE(TRIM(LEFT(RIGHT(M350,18),11))),"")</f>
        <v/>
      </c>
    </row>
    <row r="351" customFormat="false" ht="14.25" hidden="false" customHeight="true" outlineLevel="0" collapsed="false">
      <c r="A351" s="12" t="str">
        <f aca="false">IF(E351="","",E351)</f>
        <v/>
      </c>
      <c r="B351" s="12" t="str">
        <f aca="false">IF(J351="","",J351)</f>
        <v/>
      </c>
      <c r="C351" s="12" t="str">
        <f aca="false">IF(N351="","",N351)</f>
        <v/>
      </c>
      <c r="E351" s="13" t="str">
        <f aca="false">IFERROR(VALUE(TRIM(LEFT(RIGHT(D351,18),11))),"")</f>
        <v/>
      </c>
      <c r="J351" s="13" t="str">
        <f aca="false">IFERROR(VALUE(TRIM(LEFT(RIGHT(I351,18),11))),"")</f>
        <v/>
      </c>
      <c r="N351" s="13" t="str">
        <f aca="false">IFERROR(VALUE(TRIM(LEFT(RIGHT(M351,18),11))),"")</f>
        <v/>
      </c>
    </row>
    <row r="352" customFormat="false" ht="14.25" hidden="false" customHeight="true" outlineLevel="0" collapsed="false">
      <c r="A352" s="12" t="str">
        <f aca="false">IF(E352="","",E352)</f>
        <v/>
      </c>
      <c r="B352" s="12" t="str">
        <f aca="false">IF(J352="","",J352)</f>
        <v/>
      </c>
      <c r="C352" s="12" t="str">
        <f aca="false">IF(N352="","",N352)</f>
        <v/>
      </c>
      <c r="E352" s="13" t="str">
        <f aca="false">IFERROR(VALUE(TRIM(LEFT(RIGHT(D352,18),11))),"")</f>
        <v/>
      </c>
      <c r="J352" s="13" t="str">
        <f aca="false">IFERROR(VALUE(TRIM(LEFT(RIGHT(I352,18),11))),"")</f>
        <v/>
      </c>
      <c r="N352" s="13" t="str">
        <f aca="false">IFERROR(VALUE(TRIM(LEFT(RIGHT(M352,18),11))),"")</f>
        <v/>
      </c>
    </row>
    <row r="353" customFormat="false" ht="14.25" hidden="false" customHeight="true" outlineLevel="0" collapsed="false">
      <c r="A353" s="12" t="str">
        <f aca="false">IF(E353="","",E353)</f>
        <v/>
      </c>
      <c r="B353" s="12" t="str">
        <f aca="false">IF(J353="","",J353)</f>
        <v/>
      </c>
      <c r="C353" s="12" t="str">
        <f aca="false">IF(N353="","",N353)</f>
        <v/>
      </c>
      <c r="E353" s="13" t="str">
        <f aca="false">IFERROR(VALUE(TRIM(LEFT(RIGHT(D353,18),11))),"")</f>
        <v/>
      </c>
      <c r="J353" s="13" t="str">
        <f aca="false">IFERROR(VALUE(TRIM(LEFT(RIGHT(I353,18),11))),"")</f>
        <v/>
      </c>
      <c r="N353" s="13" t="str">
        <f aca="false">IFERROR(VALUE(TRIM(LEFT(RIGHT(M353,18),11))),"")</f>
        <v/>
      </c>
    </row>
    <row r="354" customFormat="false" ht="14.25" hidden="false" customHeight="true" outlineLevel="0" collapsed="false">
      <c r="A354" s="12" t="str">
        <f aca="false">IF(E354="","",E354)</f>
        <v/>
      </c>
      <c r="B354" s="12" t="str">
        <f aca="false">IF(J354="","",J354)</f>
        <v/>
      </c>
      <c r="C354" s="12" t="str">
        <f aca="false">IF(N354="","",N354)</f>
        <v/>
      </c>
      <c r="E354" s="13" t="str">
        <f aca="false">IFERROR(VALUE(TRIM(LEFT(RIGHT(D354,18),11))),"")</f>
        <v/>
      </c>
      <c r="J354" s="13" t="str">
        <f aca="false">IFERROR(VALUE(TRIM(LEFT(RIGHT(I354,18),11))),"")</f>
        <v/>
      </c>
      <c r="N354" s="13" t="str">
        <f aca="false">IFERROR(VALUE(TRIM(LEFT(RIGHT(M354,18),11))),"")</f>
        <v/>
      </c>
    </row>
    <row r="355" customFormat="false" ht="14.25" hidden="false" customHeight="true" outlineLevel="0" collapsed="false">
      <c r="A355" s="12" t="str">
        <f aca="false">IF(E355="","",E355)</f>
        <v/>
      </c>
      <c r="B355" s="12" t="str">
        <f aca="false">IF(J355="","",J355)</f>
        <v/>
      </c>
      <c r="C355" s="12" t="str">
        <f aca="false">IF(N355="","",N355)</f>
        <v/>
      </c>
      <c r="E355" s="13" t="str">
        <f aca="false">IFERROR(VALUE(TRIM(LEFT(RIGHT(D355,18),11))),"")</f>
        <v/>
      </c>
      <c r="J355" s="13" t="str">
        <f aca="false">IFERROR(VALUE(TRIM(LEFT(RIGHT(I355,18),11))),"")</f>
        <v/>
      </c>
      <c r="N355" s="13" t="str">
        <f aca="false">IFERROR(VALUE(TRIM(LEFT(RIGHT(M355,18),11))),"")</f>
        <v/>
      </c>
    </row>
    <row r="356" customFormat="false" ht="14.25" hidden="false" customHeight="true" outlineLevel="0" collapsed="false">
      <c r="A356" s="12" t="str">
        <f aca="false">IF(E356="","",E356)</f>
        <v/>
      </c>
      <c r="B356" s="12" t="str">
        <f aca="false">IF(J356="","",J356)</f>
        <v/>
      </c>
      <c r="C356" s="12" t="str">
        <f aca="false">IF(N356="","",N356)</f>
        <v/>
      </c>
      <c r="E356" s="13" t="str">
        <f aca="false">IFERROR(VALUE(TRIM(LEFT(RIGHT(D356,18),11))),"")</f>
        <v/>
      </c>
      <c r="J356" s="13" t="str">
        <f aca="false">IFERROR(VALUE(TRIM(LEFT(RIGHT(I356,18),11))),"")</f>
        <v/>
      </c>
      <c r="N356" s="13" t="str">
        <f aca="false">IFERROR(VALUE(TRIM(LEFT(RIGHT(M356,18),11))),"")</f>
        <v/>
      </c>
    </row>
    <row r="357" customFormat="false" ht="14.25" hidden="false" customHeight="true" outlineLevel="0" collapsed="false">
      <c r="A357" s="12" t="str">
        <f aca="false">IF(E357="","",E357)</f>
        <v/>
      </c>
      <c r="B357" s="12" t="str">
        <f aca="false">IF(J357="","",J357)</f>
        <v/>
      </c>
      <c r="C357" s="12" t="str">
        <f aca="false">IF(N357="","",N357)</f>
        <v/>
      </c>
      <c r="E357" s="13" t="str">
        <f aca="false">IFERROR(VALUE(TRIM(LEFT(RIGHT(D357,18),11))),"")</f>
        <v/>
      </c>
      <c r="J357" s="13" t="str">
        <f aca="false">IFERROR(VALUE(TRIM(LEFT(RIGHT(I357,18),11))),"")</f>
        <v/>
      </c>
      <c r="N357" s="13" t="str">
        <f aca="false">IFERROR(VALUE(TRIM(LEFT(RIGHT(M357,18),11))),"")</f>
        <v/>
      </c>
    </row>
    <row r="358" customFormat="false" ht="14.25" hidden="false" customHeight="true" outlineLevel="0" collapsed="false">
      <c r="A358" s="12" t="str">
        <f aca="false">IF(E358="","",E358)</f>
        <v/>
      </c>
      <c r="B358" s="12" t="str">
        <f aca="false">IF(J358="","",J358)</f>
        <v/>
      </c>
      <c r="C358" s="12" t="str">
        <f aca="false">IF(N358="","",N358)</f>
        <v/>
      </c>
      <c r="E358" s="13" t="str">
        <f aca="false">IFERROR(VALUE(TRIM(LEFT(RIGHT(D358,18),11))),"")</f>
        <v/>
      </c>
      <c r="J358" s="13" t="str">
        <f aca="false">IFERROR(VALUE(TRIM(LEFT(RIGHT(I358,18),11))),"")</f>
        <v/>
      </c>
      <c r="N358" s="13" t="str">
        <f aca="false">IFERROR(VALUE(TRIM(LEFT(RIGHT(M358,18),11))),"")</f>
        <v/>
      </c>
    </row>
    <row r="359" customFormat="false" ht="14.25" hidden="false" customHeight="true" outlineLevel="0" collapsed="false">
      <c r="A359" s="12" t="str">
        <f aca="false">IF(E359="","",E359)</f>
        <v/>
      </c>
      <c r="B359" s="12" t="str">
        <f aca="false">IF(J359="","",J359)</f>
        <v/>
      </c>
      <c r="C359" s="12" t="str">
        <f aca="false">IF(N359="","",N359)</f>
        <v/>
      </c>
      <c r="E359" s="13" t="str">
        <f aca="false">IFERROR(VALUE(TRIM(LEFT(RIGHT(D359,18),11))),"")</f>
        <v/>
      </c>
      <c r="J359" s="13" t="str">
        <f aca="false">IFERROR(VALUE(TRIM(LEFT(RIGHT(I359,18),11))),"")</f>
        <v/>
      </c>
      <c r="N359" s="13" t="str">
        <f aca="false">IFERROR(VALUE(TRIM(LEFT(RIGHT(M359,18),11))),"")</f>
        <v/>
      </c>
    </row>
    <row r="360" customFormat="false" ht="14.25" hidden="false" customHeight="true" outlineLevel="0" collapsed="false">
      <c r="A360" s="12" t="str">
        <f aca="false">IF(E360="","",E360)</f>
        <v/>
      </c>
      <c r="B360" s="12" t="str">
        <f aca="false">IF(J360="","",J360)</f>
        <v/>
      </c>
      <c r="C360" s="12" t="str">
        <f aca="false">IF(N360="","",N360)</f>
        <v/>
      </c>
      <c r="E360" s="13" t="str">
        <f aca="false">IFERROR(VALUE(TRIM(LEFT(RIGHT(D360,18),11))),"")</f>
        <v/>
      </c>
      <c r="J360" s="13" t="str">
        <f aca="false">IFERROR(VALUE(TRIM(LEFT(RIGHT(I360,18),11))),"")</f>
        <v/>
      </c>
      <c r="N360" s="13" t="str">
        <f aca="false">IFERROR(VALUE(TRIM(LEFT(RIGHT(M360,18),11))),"")</f>
        <v/>
      </c>
    </row>
    <row r="361" customFormat="false" ht="14.25" hidden="false" customHeight="true" outlineLevel="0" collapsed="false">
      <c r="A361" s="12" t="str">
        <f aca="false">IF(E361="","",E361)</f>
        <v/>
      </c>
      <c r="B361" s="12" t="str">
        <f aca="false">IF(J361="","",J361)</f>
        <v/>
      </c>
      <c r="C361" s="12" t="str">
        <f aca="false">IF(N361="","",N361)</f>
        <v/>
      </c>
      <c r="E361" s="13" t="str">
        <f aca="false">IFERROR(VALUE(TRIM(LEFT(RIGHT(D361,18),11))),"")</f>
        <v/>
      </c>
      <c r="J361" s="13" t="str">
        <f aca="false">IFERROR(VALUE(TRIM(LEFT(RIGHT(I361,18),11))),"")</f>
        <v/>
      </c>
      <c r="N361" s="13" t="str">
        <f aca="false">IFERROR(VALUE(TRIM(LEFT(RIGHT(M361,18),11))),"")</f>
        <v/>
      </c>
    </row>
    <row r="362" customFormat="false" ht="14.25" hidden="false" customHeight="true" outlineLevel="0" collapsed="false">
      <c r="A362" s="12" t="str">
        <f aca="false">IF(E362="","",E362)</f>
        <v/>
      </c>
      <c r="B362" s="12" t="str">
        <f aca="false">IF(J362="","",J362)</f>
        <v/>
      </c>
      <c r="C362" s="12" t="str">
        <f aca="false">IF(N362="","",N362)</f>
        <v/>
      </c>
      <c r="E362" s="13" t="str">
        <f aca="false">IFERROR(VALUE(TRIM(LEFT(RIGHT(D362,18),11))),"")</f>
        <v/>
      </c>
      <c r="J362" s="13" t="str">
        <f aca="false">IFERROR(VALUE(TRIM(LEFT(RIGHT(I362,18),11))),"")</f>
        <v/>
      </c>
      <c r="N362" s="13" t="str">
        <f aca="false">IFERROR(VALUE(TRIM(LEFT(RIGHT(M362,18),11))),"")</f>
        <v/>
      </c>
    </row>
    <row r="363" customFormat="false" ht="14.25" hidden="false" customHeight="true" outlineLevel="0" collapsed="false">
      <c r="A363" s="12" t="str">
        <f aca="false">IF(E363="","",E363)</f>
        <v/>
      </c>
      <c r="B363" s="12" t="str">
        <f aca="false">IF(J363="","",J363)</f>
        <v/>
      </c>
      <c r="C363" s="12" t="str">
        <f aca="false">IF(N363="","",N363)</f>
        <v/>
      </c>
      <c r="E363" s="13" t="str">
        <f aca="false">IFERROR(VALUE(TRIM(LEFT(RIGHT(D363,18),11))),"")</f>
        <v/>
      </c>
      <c r="J363" s="13" t="str">
        <f aca="false">IFERROR(VALUE(TRIM(LEFT(RIGHT(I363,18),11))),"")</f>
        <v/>
      </c>
      <c r="N363" s="13" t="str">
        <f aca="false">IFERROR(VALUE(TRIM(LEFT(RIGHT(M363,18),11))),"")</f>
        <v/>
      </c>
    </row>
    <row r="364" customFormat="false" ht="14.25" hidden="false" customHeight="true" outlineLevel="0" collapsed="false">
      <c r="A364" s="12" t="str">
        <f aca="false">IF(E364="","",E364)</f>
        <v/>
      </c>
      <c r="B364" s="12" t="str">
        <f aca="false">IF(J364="","",J364)</f>
        <v/>
      </c>
      <c r="C364" s="12" t="str">
        <f aca="false">IF(N364="","",N364)</f>
        <v/>
      </c>
      <c r="E364" s="13" t="str">
        <f aca="false">IFERROR(VALUE(TRIM(LEFT(RIGHT(D364,18),11))),"")</f>
        <v/>
      </c>
      <c r="J364" s="13" t="str">
        <f aca="false">IFERROR(VALUE(TRIM(LEFT(RIGHT(I364,18),11))),"")</f>
        <v/>
      </c>
      <c r="N364" s="13" t="str">
        <f aca="false">IFERROR(VALUE(TRIM(LEFT(RIGHT(M364,18),11))),"")</f>
        <v/>
      </c>
    </row>
    <row r="365" customFormat="false" ht="14.25" hidden="false" customHeight="true" outlineLevel="0" collapsed="false">
      <c r="A365" s="12" t="str">
        <f aca="false">IF(E365="","",E365)</f>
        <v/>
      </c>
      <c r="B365" s="12" t="str">
        <f aca="false">IF(J365="","",J365)</f>
        <v/>
      </c>
      <c r="C365" s="12" t="str">
        <f aca="false">IF(N365="","",N365)</f>
        <v/>
      </c>
      <c r="E365" s="13" t="str">
        <f aca="false">IFERROR(VALUE(TRIM(LEFT(RIGHT(D365,18),11))),"")</f>
        <v/>
      </c>
      <c r="J365" s="13" t="str">
        <f aca="false">IFERROR(VALUE(TRIM(LEFT(RIGHT(I365,18),11))),"")</f>
        <v/>
      </c>
      <c r="N365" s="13" t="str">
        <f aca="false">IFERROR(VALUE(TRIM(LEFT(RIGHT(M365,18),11))),"")</f>
        <v/>
      </c>
    </row>
    <row r="366" customFormat="false" ht="14.25" hidden="false" customHeight="true" outlineLevel="0" collapsed="false">
      <c r="A366" s="12" t="str">
        <f aca="false">IF(E366="","",E366)</f>
        <v/>
      </c>
      <c r="B366" s="12" t="str">
        <f aca="false">IF(J366="","",J366)</f>
        <v/>
      </c>
      <c r="C366" s="12" t="str">
        <f aca="false">IF(N366="","",N366)</f>
        <v/>
      </c>
      <c r="E366" s="13" t="str">
        <f aca="false">IFERROR(VALUE(TRIM(LEFT(RIGHT(D366,18),11))),"")</f>
        <v/>
      </c>
      <c r="J366" s="13" t="str">
        <f aca="false">IFERROR(VALUE(TRIM(LEFT(RIGHT(I366,18),11))),"")</f>
        <v/>
      </c>
      <c r="N366" s="13" t="str">
        <f aca="false">IFERROR(VALUE(TRIM(LEFT(RIGHT(M366,18),11))),"")</f>
        <v/>
      </c>
    </row>
    <row r="367" customFormat="false" ht="14.25" hidden="false" customHeight="true" outlineLevel="0" collapsed="false">
      <c r="A367" s="12" t="str">
        <f aca="false">IF(E367="","",E367)</f>
        <v/>
      </c>
      <c r="B367" s="12" t="str">
        <f aca="false">IF(J367="","",J367)</f>
        <v/>
      </c>
      <c r="C367" s="12" t="str">
        <f aca="false">IF(N367="","",N367)</f>
        <v/>
      </c>
      <c r="E367" s="13" t="str">
        <f aca="false">IFERROR(VALUE(TRIM(LEFT(RIGHT(D367,18),11))),"")</f>
        <v/>
      </c>
      <c r="J367" s="13" t="str">
        <f aca="false">IFERROR(VALUE(TRIM(LEFT(RIGHT(I367,18),11))),"")</f>
        <v/>
      </c>
      <c r="N367" s="13" t="str">
        <f aca="false">IFERROR(VALUE(TRIM(LEFT(RIGHT(M367,18),11))),"")</f>
        <v/>
      </c>
    </row>
    <row r="368" customFormat="false" ht="14.25" hidden="false" customHeight="true" outlineLevel="0" collapsed="false">
      <c r="A368" s="12" t="str">
        <f aca="false">IF(E368="","",E368)</f>
        <v/>
      </c>
      <c r="B368" s="12" t="str">
        <f aca="false">IF(J368="","",J368)</f>
        <v/>
      </c>
      <c r="C368" s="12" t="str">
        <f aca="false">IF(N368="","",N368)</f>
        <v/>
      </c>
      <c r="E368" s="13" t="str">
        <f aca="false">IFERROR(VALUE(TRIM(LEFT(RIGHT(D368,18),11))),"")</f>
        <v/>
      </c>
      <c r="J368" s="13" t="str">
        <f aca="false">IFERROR(VALUE(TRIM(LEFT(RIGHT(I368,18),11))),"")</f>
        <v/>
      </c>
      <c r="N368" s="13" t="str">
        <f aca="false">IFERROR(VALUE(TRIM(LEFT(RIGHT(M368,18),11))),"")</f>
        <v/>
      </c>
    </row>
    <row r="369" customFormat="false" ht="14.25" hidden="false" customHeight="true" outlineLevel="0" collapsed="false">
      <c r="A369" s="12" t="str">
        <f aca="false">IF(E369="","",E369)</f>
        <v/>
      </c>
      <c r="B369" s="12" t="str">
        <f aca="false">IF(J369="","",J369)</f>
        <v/>
      </c>
      <c r="C369" s="12" t="str">
        <f aca="false">IF(N369="","",N369)</f>
        <v/>
      </c>
      <c r="E369" s="13" t="str">
        <f aca="false">IFERROR(VALUE(TRIM(LEFT(RIGHT(D369,18),11))),"")</f>
        <v/>
      </c>
      <c r="J369" s="13" t="str">
        <f aca="false">IFERROR(VALUE(TRIM(LEFT(RIGHT(I369,18),11))),"")</f>
        <v/>
      </c>
      <c r="N369" s="13" t="str">
        <f aca="false">IFERROR(VALUE(TRIM(LEFT(RIGHT(M369,18),11))),"")</f>
        <v/>
      </c>
    </row>
    <row r="370" customFormat="false" ht="14.25" hidden="false" customHeight="true" outlineLevel="0" collapsed="false">
      <c r="A370" s="12" t="str">
        <f aca="false">IF(E370="","",E370)</f>
        <v/>
      </c>
      <c r="B370" s="12" t="str">
        <f aca="false">IF(J370="","",J370)</f>
        <v/>
      </c>
      <c r="C370" s="12" t="str">
        <f aca="false">IF(N370="","",N370)</f>
        <v/>
      </c>
      <c r="E370" s="13" t="str">
        <f aca="false">IFERROR(VALUE(TRIM(LEFT(RIGHT(D370,18),11))),"")</f>
        <v/>
      </c>
      <c r="J370" s="13" t="str">
        <f aca="false">IFERROR(VALUE(TRIM(LEFT(RIGHT(I370,18),11))),"")</f>
        <v/>
      </c>
      <c r="N370" s="13" t="str">
        <f aca="false">IFERROR(VALUE(TRIM(LEFT(RIGHT(M370,18),11))),"")</f>
        <v/>
      </c>
    </row>
    <row r="371" customFormat="false" ht="14.25" hidden="false" customHeight="true" outlineLevel="0" collapsed="false">
      <c r="A371" s="12" t="str">
        <f aca="false">IF(E371="","",E371)</f>
        <v/>
      </c>
      <c r="B371" s="12" t="str">
        <f aca="false">IF(J371="","",J371)</f>
        <v/>
      </c>
      <c r="C371" s="12" t="str">
        <f aca="false">IF(N371="","",N371)</f>
        <v/>
      </c>
      <c r="E371" s="13" t="str">
        <f aca="false">IFERROR(VALUE(TRIM(LEFT(RIGHT(D371,18),11))),"")</f>
        <v/>
      </c>
      <c r="J371" s="13" t="str">
        <f aca="false">IFERROR(VALUE(TRIM(LEFT(RIGHT(I371,18),11))),"")</f>
        <v/>
      </c>
      <c r="N371" s="13" t="str">
        <f aca="false">IFERROR(VALUE(TRIM(LEFT(RIGHT(M371,18),11))),"")</f>
        <v/>
      </c>
    </row>
    <row r="372" customFormat="false" ht="14.25" hidden="false" customHeight="true" outlineLevel="0" collapsed="false">
      <c r="A372" s="12" t="str">
        <f aca="false">IF(E372="","",E372)</f>
        <v/>
      </c>
      <c r="B372" s="12" t="str">
        <f aca="false">IF(J372="","",J372)</f>
        <v/>
      </c>
      <c r="C372" s="12" t="str">
        <f aca="false">IF(N372="","",N372)</f>
        <v/>
      </c>
      <c r="E372" s="13" t="str">
        <f aca="false">IFERROR(VALUE(TRIM(LEFT(RIGHT(D372,18),11))),"")</f>
        <v/>
      </c>
      <c r="J372" s="13" t="str">
        <f aca="false">IFERROR(VALUE(TRIM(LEFT(RIGHT(I372,18),11))),"")</f>
        <v/>
      </c>
      <c r="N372" s="13" t="str">
        <f aca="false">IFERROR(VALUE(TRIM(LEFT(RIGHT(M372,18),11))),"")</f>
        <v/>
      </c>
    </row>
    <row r="373" customFormat="false" ht="14.25" hidden="false" customHeight="true" outlineLevel="0" collapsed="false">
      <c r="A373" s="12" t="str">
        <f aca="false">IF(E373="","",E373)</f>
        <v/>
      </c>
      <c r="B373" s="12" t="str">
        <f aca="false">IF(J373="","",J373)</f>
        <v/>
      </c>
      <c r="C373" s="12" t="str">
        <f aca="false">IF(N373="","",N373)</f>
        <v/>
      </c>
      <c r="E373" s="13" t="str">
        <f aca="false">IFERROR(VALUE(TRIM(LEFT(RIGHT(D373,18),11))),"")</f>
        <v/>
      </c>
      <c r="J373" s="13" t="str">
        <f aca="false">IFERROR(VALUE(TRIM(LEFT(RIGHT(I373,18),11))),"")</f>
        <v/>
      </c>
      <c r="N373" s="13" t="str">
        <f aca="false">IFERROR(VALUE(TRIM(LEFT(RIGHT(M373,18),11))),"")</f>
        <v/>
      </c>
    </row>
    <row r="374" customFormat="false" ht="14.25" hidden="false" customHeight="true" outlineLevel="0" collapsed="false">
      <c r="A374" s="12" t="str">
        <f aca="false">IF(E374="","",E374)</f>
        <v/>
      </c>
      <c r="B374" s="12" t="str">
        <f aca="false">IF(J374="","",J374)</f>
        <v/>
      </c>
      <c r="C374" s="12" t="str">
        <f aca="false">IF(N374="","",N374)</f>
        <v/>
      </c>
      <c r="E374" s="13" t="str">
        <f aca="false">IFERROR(VALUE(TRIM(LEFT(RIGHT(D374,18),11))),"")</f>
        <v/>
      </c>
      <c r="J374" s="13" t="str">
        <f aca="false">IFERROR(VALUE(TRIM(LEFT(RIGHT(I374,18),11))),"")</f>
        <v/>
      </c>
      <c r="N374" s="13" t="str">
        <f aca="false">IFERROR(VALUE(TRIM(LEFT(RIGHT(M374,18),11))),"")</f>
        <v/>
      </c>
    </row>
    <row r="375" customFormat="false" ht="14.25" hidden="false" customHeight="true" outlineLevel="0" collapsed="false">
      <c r="A375" s="12" t="str">
        <f aca="false">IF(E375="","",E375)</f>
        <v/>
      </c>
      <c r="B375" s="12" t="str">
        <f aca="false">IF(J375="","",J375)</f>
        <v/>
      </c>
      <c r="C375" s="12" t="str">
        <f aca="false">IF(N375="","",N375)</f>
        <v/>
      </c>
      <c r="E375" s="13" t="str">
        <f aca="false">IFERROR(VALUE(TRIM(LEFT(RIGHT(D375,18),11))),"")</f>
        <v/>
      </c>
      <c r="J375" s="13" t="str">
        <f aca="false">IFERROR(VALUE(TRIM(LEFT(RIGHT(I375,18),11))),"")</f>
        <v/>
      </c>
      <c r="N375" s="13" t="str">
        <f aca="false">IFERROR(VALUE(TRIM(LEFT(RIGHT(M375,18),11))),"")</f>
        <v/>
      </c>
    </row>
    <row r="376" customFormat="false" ht="14.25" hidden="false" customHeight="true" outlineLevel="0" collapsed="false">
      <c r="A376" s="12" t="str">
        <f aca="false">IF(E376="","",E376)</f>
        <v/>
      </c>
      <c r="B376" s="12" t="str">
        <f aca="false">IF(J376="","",J376)</f>
        <v/>
      </c>
      <c r="C376" s="12" t="str">
        <f aca="false">IF(N376="","",N376)</f>
        <v/>
      </c>
      <c r="E376" s="13" t="str">
        <f aca="false">IFERROR(VALUE(TRIM(LEFT(RIGHT(D376,18),11))),"")</f>
        <v/>
      </c>
      <c r="J376" s="13" t="str">
        <f aca="false">IFERROR(VALUE(TRIM(LEFT(RIGHT(I376,18),11))),"")</f>
        <v/>
      </c>
      <c r="N376" s="13" t="str">
        <f aca="false">IFERROR(VALUE(TRIM(LEFT(RIGHT(M376,18),11))),"")</f>
        <v/>
      </c>
    </row>
    <row r="377" customFormat="false" ht="14.25" hidden="false" customHeight="true" outlineLevel="0" collapsed="false">
      <c r="A377" s="12" t="str">
        <f aca="false">IF(E377="","",E377)</f>
        <v/>
      </c>
      <c r="B377" s="12" t="str">
        <f aca="false">IF(J377="","",J377)</f>
        <v/>
      </c>
      <c r="C377" s="12" t="str">
        <f aca="false">IF(N377="","",N377)</f>
        <v/>
      </c>
      <c r="E377" s="13" t="str">
        <f aca="false">IFERROR(VALUE(TRIM(LEFT(RIGHT(D377,18),11))),"")</f>
        <v/>
      </c>
      <c r="J377" s="13" t="str">
        <f aca="false">IFERROR(VALUE(TRIM(LEFT(RIGHT(I377,18),11))),"")</f>
        <v/>
      </c>
      <c r="N377" s="13" t="str">
        <f aca="false">IFERROR(VALUE(TRIM(LEFT(RIGHT(M377,18),11))),"")</f>
        <v/>
      </c>
    </row>
    <row r="378" customFormat="false" ht="14.25" hidden="false" customHeight="true" outlineLevel="0" collapsed="false">
      <c r="A378" s="12" t="str">
        <f aca="false">IF(E378="","",E378)</f>
        <v/>
      </c>
      <c r="B378" s="12" t="str">
        <f aca="false">IF(J378="","",J378)</f>
        <v/>
      </c>
      <c r="C378" s="12" t="str">
        <f aca="false">IF(N378="","",N378)</f>
        <v/>
      </c>
      <c r="E378" s="13" t="str">
        <f aca="false">IFERROR(VALUE(TRIM(LEFT(RIGHT(D378,18),11))),"")</f>
        <v/>
      </c>
      <c r="J378" s="13" t="str">
        <f aca="false">IFERROR(VALUE(TRIM(LEFT(RIGHT(I378,18),11))),"")</f>
        <v/>
      </c>
      <c r="N378" s="13" t="str">
        <f aca="false">IFERROR(VALUE(TRIM(LEFT(RIGHT(M378,18),11))),"")</f>
        <v/>
      </c>
    </row>
    <row r="379" customFormat="false" ht="14.25" hidden="false" customHeight="true" outlineLevel="0" collapsed="false">
      <c r="A379" s="12" t="str">
        <f aca="false">IF(E379="","",E379)</f>
        <v/>
      </c>
      <c r="B379" s="12" t="str">
        <f aca="false">IF(J379="","",J379)</f>
        <v/>
      </c>
      <c r="C379" s="12" t="str">
        <f aca="false">IF(N379="","",N379)</f>
        <v/>
      </c>
      <c r="E379" s="13" t="str">
        <f aca="false">IFERROR(VALUE(TRIM(LEFT(RIGHT(D379,18),11))),"")</f>
        <v/>
      </c>
      <c r="J379" s="13" t="str">
        <f aca="false">IFERROR(VALUE(TRIM(LEFT(RIGHT(I379,18),11))),"")</f>
        <v/>
      </c>
      <c r="N379" s="13" t="str">
        <f aca="false">IFERROR(VALUE(TRIM(LEFT(RIGHT(M379,18),11))),"")</f>
        <v/>
      </c>
    </row>
    <row r="380" customFormat="false" ht="14.25" hidden="false" customHeight="true" outlineLevel="0" collapsed="false">
      <c r="A380" s="12" t="str">
        <f aca="false">IF(E380="","",E380)</f>
        <v/>
      </c>
      <c r="B380" s="12" t="str">
        <f aca="false">IF(J380="","",J380)</f>
        <v/>
      </c>
      <c r="C380" s="12" t="str">
        <f aca="false">IF(N380="","",N380)</f>
        <v/>
      </c>
      <c r="E380" s="13" t="str">
        <f aca="false">IFERROR(VALUE(TRIM(LEFT(RIGHT(D380,18),11))),"")</f>
        <v/>
      </c>
      <c r="J380" s="13" t="str">
        <f aca="false">IFERROR(VALUE(TRIM(LEFT(RIGHT(I380,18),11))),"")</f>
        <v/>
      </c>
      <c r="N380" s="13" t="str">
        <f aca="false">IFERROR(VALUE(TRIM(LEFT(RIGHT(M380,18),11))),"")</f>
        <v/>
      </c>
    </row>
    <row r="381" customFormat="false" ht="14.25" hidden="false" customHeight="true" outlineLevel="0" collapsed="false">
      <c r="A381" s="12" t="str">
        <f aca="false">IF(E381="","",E381)</f>
        <v/>
      </c>
      <c r="B381" s="12" t="str">
        <f aca="false">IF(J381="","",J381)</f>
        <v/>
      </c>
      <c r="C381" s="12" t="str">
        <f aca="false">IF(N381="","",N381)</f>
        <v/>
      </c>
      <c r="E381" s="13" t="str">
        <f aca="false">IFERROR(VALUE(TRIM(LEFT(RIGHT(D381,18),11))),"")</f>
        <v/>
      </c>
      <c r="J381" s="13" t="str">
        <f aca="false">IFERROR(VALUE(TRIM(LEFT(RIGHT(I381,18),11))),"")</f>
        <v/>
      </c>
      <c r="N381" s="13" t="str">
        <f aca="false">IFERROR(VALUE(TRIM(LEFT(RIGHT(M381,18),11))),"")</f>
        <v/>
      </c>
    </row>
    <row r="382" customFormat="false" ht="14.25" hidden="false" customHeight="true" outlineLevel="0" collapsed="false">
      <c r="A382" s="12" t="str">
        <f aca="false">IF(E382="","",E382)</f>
        <v/>
      </c>
      <c r="B382" s="12" t="str">
        <f aca="false">IF(J382="","",J382)</f>
        <v/>
      </c>
      <c r="C382" s="12" t="str">
        <f aca="false">IF(N382="","",N382)</f>
        <v/>
      </c>
      <c r="E382" s="13" t="str">
        <f aca="false">IFERROR(VALUE(TRIM(LEFT(RIGHT(D382,18),11))),"")</f>
        <v/>
      </c>
      <c r="J382" s="13" t="str">
        <f aca="false">IFERROR(VALUE(TRIM(LEFT(RIGHT(I382,18),11))),"")</f>
        <v/>
      </c>
      <c r="N382" s="13" t="str">
        <f aca="false">IFERROR(VALUE(TRIM(LEFT(RIGHT(M382,18),11))),"")</f>
        <v/>
      </c>
    </row>
    <row r="383" customFormat="false" ht="14.25" hidden="false" customHeight="true" outlineLevel="0" collapsed="false">
      <c r="A383" s="12" t="str">
        <f aca="false">IF(E383="","",E383)</f>
        <v/>
      </c>
      <c r="B383" s="12" t="str">
        <f aca="false">IF(J383="","",J383)</f>
        <v/>
      </c>
      <c r="C383" s="12" t="str">
        <f aca="false">IF(N383="","",N383)</f>
        <v/>
      </c>
      <c r="E383" s="13" t="str">
        <f aca="false">IFERROR(VALUE(TRIM(LEFT(RIGHT(D383,18),11))),"")</f>
        <v/>
      </c>
      <c r="J383" s="13" t="str">
        <f aca="false">IFERROR(VALUE(TRIM(LEFT(RIGHT(I383,18),11))),"")</f>
        <v/>
      </c>
      <c r="N383" s="13" t="str">
        <f aca="false">IFERROR(VALUE(TRIM(LEFT(RIGHT(M383,18),11))),"")</f>
        <v/>
      </c>
    </row>
    <row r="384" customFormat="false" ht="14.25" hidden="false" customHeight="true" outlineLevel="0" collapsed="false">
      <c r="A384" s="12" t="str">
        <f aca="false">IF(E384="","",E384)</f>
        <v/>
      </c>
      <c r="B384" s="12" t="str">
        <f aca="false">IF(J384="","",J384)</f>
        <v/>
      </c>
      <c r="C384" s="12" t="str">
        <f aca="false">IF(N384="","",N384)</f>
        <v/>
      </c>
      <c r="E384" s="13" t="str">
        <f aca="false">IFERROR(VALUE(TRIM(LEFT(RIGHT(D384,18),11))),"")</f>
        <v/>
      </c>
      <c r="J384" s="13" t="str">
        <f aca="false">IFERROR(VALUE(TRIM(LEFT(RIGHT(I384,18),11))),"")</f>
        <v/>
      </c>
      <c r="N384" s="13" t="str">
        <f aca="false">IFERROR(VALUE(TRIM(LEFT(RIGHT(M384,18),11))),"")</f>
        <v/>
      </c>
    </row>
    <row r="385" customFormat="false" ht="14.25" hidden="false" customHeight="true" outlineLevel="0" collapsed="false">
      <c r="A385" s="12" t="str">
        <f aca="false">IF(E385="","",E385)</f>
        <v/>
      </c>
      <c r="B385" s="12" t="str">
        <f aca="false">IF(J385="","",J385)</f>
        <v/>
      </c>
      <c r="C385" s="12" t="str">
        <f aca="false">IF(N385="","",N385)</f>
        <v/>
      </c>
      <c r="E385" s="13" t="str">
        <f aca="false">IFERROR(VALUE(TRIM(LEFT(RIGHT(D385,18),11))),"")</f>
        <v/>
      </c>
      <c r="J385" s="13" t="str">
        <f aca="false">IFERROR(VALUE(TRIM(LEFT(RIGHT(I385,18),11))),"")</f>
        <v/>
      </c>
      <c r="N385" s="13" t="str">
        <f aca="false">IFERROR(VALUE(TRIM(LEFT(RIGHT(M385,18),11))),"")</f>
        <v/>
      </c>
    </row>
    <row r="386" customFormat="false" ht="14.25" hidden="false" customHeight="true" outlineLevel="0" collapsed="false">
      <c r="A386" s="12" t="str">
        <f aca="false">IF(E386="","",E386)</f>
        <v/>
      </c>
      <c r="B386" s="12" t="str">
        <f aca="false">IF(J386="","",J386)</f>
        <v/>
      </c>
      <c r="C386" s="12" t="str">
        <f aca="false">IF(N386="","",N386)</f>
        <v/>
      </c>
      <c r="E386" s="13" t="str">
        <f aca="false">IFERROR(VALUE(TRIM(LEFT(RIGHT(D386,18),11))),"")</f>
        <v/>
      </c>
      <c r="J386" s="13" t="str">
        <f aca="false">IFERROR(VALUE(TRIM(LEFT(RIGHT(I386,18),11))),"")</f>
        <v/>
      </c>
      <c r="N386" s="13" t="str">
        <f aca="false">IFERROR(VALUE(TRIM(LEFT(RIGHT(M386,18),11))),"")</f>
        <v/>
      </c>
    </row>
    <row r="387" customFormat="false" ht="14.25" hidden="false" customHeight="true" outlineLevel="0" collapsed="false">
      <c r="A387" s="12" t="str">
        <f aca="false">IF(E387="","",E387)</f>
        <v/>
      </c>
      <c r="B387" s="12" t="str">
        <f aca="false">IF(J387="","",J387)</f>
        <v/>
      </c>
      <c r="C387" s="12" t="str">
        <f aca="false">IF(N387="","",N387)</f>
        <v/>
      </c>
      <c r="E387" s="13" t="str">
        <f aca="false">IFERROR(VALUE(TRIM(LEFT(RIGHT(D387,18),11))),"")</f>
        <v/>
      </c>
      <c r="J387" s="13" t="str">
        <f aca="false">IFERROR(VALUE(TRIM(LEFT(RIGHT(I387,18),11))),"")</f>
        <v/>
      </c>
      <c r="N387" s="13" t="str">
        <f aca="false">IFERROR(VALUE(TRIM(LEFT(RIGHT(M387,18),11))),"")</f>
        <v/>
      </c>
    </row>
    <row r="388" customFormat="false" ht="14.25" hidden="false" customHeight="true" outlineLevel="0" collapsed="false">
      <c r="A388" s="12" t="str">
        <f aca="false">IF(E388="","",E388)</f>
        <v/>
      </c>
      <c r="B388" s="12" t="str">
        <f aca="false">IF(J388="","",J388)</f>
        <v/>
      </c>
      <c r="C388" s="12" t="str">
        <f aca="false">IF(N388="","",N388)</f>
        <v/>
      </c>
      <c r="E388" s="13" t="str">
        <f aca="false">IFERROR(VALUE(TRIM(LEFT(RIGHT(D388,18),11))),"")</f>
        <v/>
      </c>
      <c r="J388" s="13" t="str">
        <f aca="false">IFERROR(VALUE(TRIM(LEFT(RIGHT(I388,18),11))),"")</f>
        <v/>
      </c>
      <c r="N388" s="13" t="str">
        <f aca="false">IFERROR(VALUE(TRIM(LEFT(RIGHT(M388,18),11))),"")</f>
        <v/>
      </c>
    </row>
    <row r="389" customFormat="false" ht="14.25" hidden="false" customHeight="true" outlineLevel="0" collapsed="false">
      <c r="A389" s="12" t="str">
        <f aca="false">IF(E389="","",E389)</f>
        <v/>
      </c>
      <c r="B389" s="12" t="str">
        <f aca="false">IF(J389="","",J389)</f>
        <v/>
      </c>
      <c r="C389" s="12" t="str">
        <f aca="false">IF(N389="","",N389)</f>
        <v/>
      </c>
      <c r="E389" s="13" t="str">
        <f aca="false">IFERROR(VALUE(TRIM(LEFT(RIGHT(D389,18),11))),"")</f>
        <v/>
      </c>
      <c r="J389" s="13" t="str">
        <f aca="false">IFERROR(VALUE(TRIM(LEFT(RIGHT(I389,18),11))),"")</f>
        <v/>
      </c>
      <c r="N389" s="13" t="str">
        <f aca="false">IFERROR(VALUE(TRIM(LEFT(RIGHT(M389,18),11))),"")</f>
        <v/>
      </c>
    </row>
    <row r="390" customFormat="false" ht="14.25" hidden="false" customHeight="true" outlineLevel="0" collapsed="false">
      <c r="A390" s="12" t="str">
        <f aca="false">IF(E390="","",E390)</f>
        <v/>
      </c>
      <c r="B390" s="12" t="str">
        <f aca="false">IF(J390="","",J390)</f>
        <v/>
      </c>
      <c r="C390" s="12" t="str">
        <f aca="false">IF(N390="","",N390)</f>
        <v/>
      </c>
      <c r="E390" s="13" t="str">
        <f aca="false">IFERROR(VALUE(TRIM(LEFT(RIGHT(D390,18),11))),"")</f>
        <v/>
      </c>
      <c r="J390" s="13" t="str">
        <f aca="false">IFERROR(VALUE(TRIM(LEFT(RIGHT(I390,18),11))),"")</f>
        <v/>
      </c>
      <c r="N390" s="13" t="str">
        <f aca="false">IFERROR(VALUE(TRIM(LEFT(RIGHT(M390,18),11))),"")</f>
        <v/>
      </c>
    </row>
    <row r="391" customFormat="false" ht="14.25" hidden="false" customHeight="true" outlineLevel="0" collapsed="false">
      <c r="A391" s="12" t="str">
        <f aca="false">IF(E391="","",E391)</f>
        <v/>
      </c>
      <c r="B391" s="12" t="str">
        <f aca="false">IF(J391="","",J391)</f>
        <v/>
      </c>
      <c r="C391" s="12" t="str">
        <f aca="false">IF(N391="","",N391)</f>
        <v/>
      </c>
      <c r="E391" s="13" t="str">
        <f aca="false">IFERROR(VALUE(TRIM(LEFT(RIGHT(D391,18),11))),"")</f>
        <v/>
      </c>
      <c r="J391" s="13" t="str">
        <f aca="false">IFERROR(VALUE(TRIM(LEFT(RIGHT(I391,18),11))),"")</f>
        <v/>
      </c>
      <c r="N391" s="13" t="str">
        <f aca="false">IFERROR(VALUE(TRIM(LEFT(RIGHT(M391,18),11))),"")</f>
        <v/>
      </c>
    </row>
    <row r="392" customFormat="false" ht="14.25" hidden="false" customHeight="true" outlineLevel="0" collapsed="false">
      <c r="A392" s="12" t="str">
        <f aca="false">IF(E392="","",E392)</f>
        <v/>
      </c>
      <c r="B392" s="12" t="str">
        <f aca="false">IF(J392="","",J392)</f>
        <v/>
      </c>
      <c r="C392" s="12" t="str">
        <f aca="false">IF(N392="","",N392)</f>
        <v/>
      </c>
      <c r="E392" s="13" t="str">
        <f aca="false">IFERROR(VALUE(TRIM(LEFT(RIGHT(D392,18),11))),"")</f>
        <v/>
      </c>
      <c r="J392" s="13" t="str">
        <f aca="false">IFERROR(VALUE(TRIM(LEFT(RIGHT(I392,18),11))),"")</f>
        <v/>
      </c>
      <c r="N392" s="13" t="str">
        <f aca="false">IFERROR(VALUE(TRIM(LEFT(RIGHT(M392,18),11))),"")</f>
        <v/>
      </c>
    </row>
    <row r="393" customFormat="false" ht="14.25" hidden="false" customHeight="true" outlineLevel="0" collapsed="false">
      <c r="A393" s="12" t="str">
        <f aca="false">IF(E393="","",E393)</f>
        <v/>
      </c>
      <c r="B393" s="12" t="str">
        <f aca="false">IF(J393="","",J393)</f>
        <v/>
      </c>
      <c r="C393" s="12" t="str">
        <f aca="false">IF(N393="","",N393)</f>
        <v/>
      </c>
      <c r="E393" s="13" t="str">
        <f aca="false">IFERROR(VALUE(TRIM(LEFT(RIGHT(D393,18),11))),"")</f>
        <v/>
      </c>
      <c r="J393" s="13" t="str">
        <f aca="false">IFERROR(VALUE(TRIM(LEFT(RIGHT(I393,18),11))),"")</f>
        <v/>
      </c>
      <c r="N393" s="13" t="str">
        <f aca="false">IFERROR(VALUE(TRIM(LEFT(RIGHT(M393,18),11))),"")</f>
        <v/>
      </c>
    </row>
    <row r="394" customFormat="false" ht="14.25" hidden="false" customHeight="true" outlineLevel="0" collapsed="false">
      <c r="A394" s="12" t="str">
        <f aca="false">IF(E394="","",E394)</f>
        <v/>
      </c>
      <c r="B394" s="12" t="str">
        <f aca="false">IF(J394="","",J394)</f>
        <v/>
      </c>
      <c r="C394" s="12" t="str">
        <f aca="false">IF(N394="","",N394)</f>
        <v/>
      </c>
      <c r="E394" s="13" t="str">
        <f aca="false">IFERROR(VALUE(TRIM(LEFT(RIGHT(D394,18),11))),"")</f>
        <v/>
      </c>
      <c r="J394" s="13" t="str">
        <f aca="false">IFERROR(VALUE(TRIM(LEFT(RIGHT(I394,18),11))),"")</f>
        <v/>
      </c>
      <c r="N394" s="13" t="str">
        <f aca="false">IFERROR(VALUE(TRIM(LEFT(RIGHT(M394,18),11))),"")</f>
        <v/>
      </c>
    </row>
    <row r="395" customFormat="false" ht="14.25" hidden="false" customHeight="true" outlineLevel="0" collapsed="false">
      <c r="A395" s="12" t="str">
        <f aca="false">IF(E395="","",E395)</f>
        <v/>
      </c>
      <c r="B395" s="12" t="str">
        <f aca="false">IF(J395="","",J395)</f>
        <v/>
      </c>
      <c r="C395" s="12" t="str">
        <f aca="false">IF(N395="","",N395)</f>
        <v/>
      </c>
      <c r="E395" s="13" t="str">
        <f aca="false">IFERROR(VALUE(TRIM(LEFT(RIGHT(D395,18),11))),"")</f>
        <v/>
      </c>
      <c r="J395" s="13" t="str">
        <f aca="false">IFERROR(VALUE(TRIM(LEFT(RIGHT(I395,18),11))),"")</f>
        <v/>
      </c>
      <c r="N395" s="13" t="str">
        <f aca="false">IFERROR(VALUE(TRIM(LEFT(RIGHT(M395,18),11))),"")</f>
        <v/>
      </c>
    </row>
    <row r="396" customFormat="false" ht="14.25" hidden="false" customHeight="true" outlineLevel="0" collapsed="false">
      <c r="A396" s="12" t="str">
        <f aca="false">IF(E396="","",E396)</f>
        <v/>
      </c>
      <c r="B396" s="12" t="str">
        <f aca="false">IF(J396="","",J396)</f>
        <v/>
      </c>
      <c r="C396" s="12" t="str">
        <f aca="false">IF(N396="","",N396)</f>
        <v/>
      </c>
      <c r="E396" s="13" t="str">
        <f aca="false">IFERROR(VALUE(TRIM(LEFT(RIGHT(D396,18),11))),"")</f>
        <v/>
      </c>
      <c r="J396" s="13" t="str">
        <f aca="false">IFERROR(VALUE(TRIM(LEFT(RIGHT(I396,18),11))),"")</f>
        <v/>
      </c>
      <c r="N396" s="13" t="str">
        <f aca="false">IFERROR(VALUE(TRIM(LEFT(RIGHT(M396,18),11))),"")</f>
        <v/>
      </c>
    </row>
    <row r="397" customFormat="false" ht="14.25" hidden="false" customHeight="true" outlineLevel="0" collapsed="false">
      <c r="A397" s="12" t="str">
        <f aca="false">IF(E397="","",E397)</f>
        <v/>
      </c>
      <c r="B397" s="12" t="str">
        <f aca="false">IF(J397="","",J397)</f>
        <v/>
      </c>
      <c r="C397" s="12" t="str">
        <f aca="false">IF(N397="","",N397)</f>
        <v/>
      </c>
      <c r="E397" s="13" t="str">
        <f aca="false">IFERROR(VALUE(TRIM(LEFT(RIGHT(D397,18),11))),"")</f>
        <v/>
      </c>
      <c r="J397" s="13" t="str">
        <f aca="false">IFERROR(VALUE(TRIM(LEFT(RIGHT(I397,18),11))),"")</f>
        <v/>
      </c>
      <c r="N397" s="13" t="str">
        <f aca="false">IFERROR(VALUE(TRIM(LEFT(RIGHT(M397,18),11))),"")</f>
        <v/>
      </c>
    </row>
    <row r="398" customFormat="false" ht="14.25" hidden="false" customHeight="true" outlineLevel="0" collapsed="false">
      <c r="A398" s="12" t="str">
        <f aca="false">IF(E398="","",E398)</f>
        <v/>
      </c>
      <c r="B398" s="12" t="str">
        <f aca="false">IF(J398="","",J398)</f>
        <v/>
      </c>
      <c r="C398" s="12" t="str">
        <f aca="false">IF(N398="","",N398)</f>
        <v/>
      </c>
      <c r="E398" s="13" t="str">
        <f aca="false">IFERROR(VALUE(TRIM(LEFT(RIGHT(D398,18),11))),"")</f>
        <v/>
      </c>
      <c r="J398" s="13" t="str">
        <f aca="false">IFERROR(VALUE(TRIM(LEFT(RIGHT(I398,18),11))),"")</f>
        <v/>
      </c>
      <c r="N398" s="13" t="str">
        <f aca="false">IFERROR(VALUE(TRIM(LEFT(RIGHT(M398,18),11))),"")</f>
        <v/>
      </c>
    </row>
    <row r="399" customFormat="false" ht="14.25" hidden="false" customHeight="true" outlineLevel="0" collapsed="false">
      <c r="A399" s="12" t="str">
        <f aca="false">IF(E399="","",E399)</f>
        <v/>
      </c>
      <c r="B399" s="12" t="str">
        <f aca="false">IF(J399="","",J399)</f>
        <v/>
      </c>
      <c r="C399" s="12" t="str">
        <f aca="false">IF(N399="","",N399)</f>
        <v/>
      </c>
      <c r="E399" s="13" t="str">
        <f aca="false">IFERROR(VALUE(TRIM(LEFT(RIGHT(D399,18),11))),"")</f>
        <v/>
      </c>
      <c r="J399" s="13" t="str">
        <f aca="false">IFERROR(VALUE(TRIM(LEFT(RIGHT(I399,18),11))),"")</f>
        <v/>
      </c>
      <c r="N399" s="13" t="str">
        <f aca="false">IFERROR(VALUE(TRIM(LEFT(RIGHT(M399,18),11))),"")</f>
        <v/>
      </c>
    </row>
    <row r="400" customFormat="false" ht="14.25" hidden="false" customHeight="true" outlineLevel="0" collapsed="false">
      <c r="A400" s="12" t="str">
        <f aca="false">IF(E400="","",E400)</f>
        <v/>
      </c>
      <c r="B400" s="12" t="str">
        <f aca="false">IF(J400="","",J400)</f>
        <v/>
      </c>
      <c r="C400" s="12" t="str">
        <f aca="false">IF(N400="","",N400)</f>
        <v/>
      </c>
      <c r="E400" s="13" t="str">
        <f aca="false">IFERROR(VALUE(TRIM(LEFT(RIGHT(D400,18),11))),"")</f>
        <v/>
      </c>
      <c r="J400" s="13" t="str">
        <f aca="false">IFERROR(VALUE(TRIM(LEFT(RIGHT(I400,18),11))),"")</f>
        <v/>
      </c>
      <c r="N400" s="13" t="str">
        <f aca="false">IFERROR(VALUE(TRIM(LEFT(RIGHT(M400,18),11))),"")</f>
        <v/>
      </c>
    </row>
    <row r="401" customFormat="false" ht="14.25" hidden="false" customHeight="true" outlineLevel="0" collapsed="false">
      <c r="A401" s="12" t="str">
        <f aca="false">IF(E401="","",E401)</f>
        <v/>
      </c>
      <c r="B401" s="12" t="str">
        <f aca="false">IF(J401="","",J401)</f>
        <v/>
      </c>
      <c r="C401" s="12" t="str">
        <f aca="false">IF(N401="","",N401)</f>
        <v/>
      </c>
      <c r="E401" s="13" t="str">
        <f aca="false">IFERROR(VALUE(TRIM(LEFT(RIGHT(D401,18),11))),"")</f>
        <v/>
      </c>
      <c r="J401" s="13" t="str">
        <f aca="false">IFERROR(VALUE(TRIM(LEFT(RIGHT(I401,18),11))),"")</f>
        <v/>
      </c>
      <c r="N401" s="13" t="str">
        <f aca="false">IFERROR(VALUE(TRIM(LEFT(RIGHT(M401,18),11))),"")</f>
        <v/>
      </c>
    </row>
    <row r="402" customFormat="false" ht="14.25" hidden="false" customHeight="true" outlineLevel="0" collapsed="false">
      <c r="A402" s="12" t="str">
        <f aca="false">IF(E402="","",E402)</f>
        <v/>
      </c>
      <c r="B402" s="12" t="str">
        <f aca="false">IF(J402="","",J402)</f>
        <v/>
      </c>
      <c r="C402" s="12" t="str">
        <f aca="false">IF(N402="","",N402)</f>
        <v/>
      </c>
      <c r="E402" s="13" t="str">
        <f aca="false">IFERROR(VALUE(TRIM(LEFT(RIGHT(D402,18),11))),"")</f>
        <v/>
      </c>
      <c r="J402" s="13" t="str">
        <f aca="false">IFERROR(VALUE(TRIM(LEFT(RIGHT(I402,18),11))),"")</f>
        <v/>
      </c>
      <c r="N402" s="13" t="str">
        <f aca="false">IFERROR(VALUE(TRIM(LEFT(RIGHT(M402,18),11))),"")</f>
        <v/>
      </c>
    </row>
    <row r="403" customFormat="false" ht="14.25" hidden="false" customHeight="true" outlineLevel="0" collapsed="false">
      <c r="A403" s="12" t="str">
        <f aca="false">IF(E403="","",E403)</f>
        <v/>
      </c>
      <c r="B403" s="12" t="str">
        <f aca="false">IF(J403="","",J403)</f>
        <v/>
      </c>
      <c r="C403" s="12" t="str">
        <f aca="false">IF(N403="","",N403)</f>
        <v/>
      </c>
      <c r="E403" s="13" t="str">
        <f aca="false">IFERROR(VALUE(TRIM(LEFT(RIGHT(D403,18),11))),"")</f>
        <v/>
      </c>
      <c r="J403" s="13" t="str">
        <f aca="false">IFERROR(VALUE(TRIM(LEFT(RIGHT(I403,18),11))),"")</f>
        <v/>
      </c>
      <c r="N403" s="13" t="str">
        <f aca="false">IFERROR(VALUE(TRIM(LEFT(RIGHT(M403,18),11))),"")</f>
        <v/>
      </c>
    </row>
    <row r="404" customFormat="false" ht="14.25" hidden="false" customHeight="true" outlineLevel="0" collapsed="false">
      <c r="A404" s="12" t="str">
        <f aca="false">IF(E404="","",E404)</f>
        <v/>
      </c>
      <c r="B404" s="12" t="str">
        <f aca="false">IF(J404="","",J404)</f>
        <v/>
      </c>
      <c r="C404" s="12" t="str">
        <f aca="false">IF(N404="","",N404)</f>
        <v/>
      </c>
      <c r="E404" s="13" t="str">
        <f aca="false">IFERROR(VALUE(TRIM(LEFT(RIGHT(D404,18),11))),"")</f>
        <v/>
      </c>
      <c r="J404" s="13" t="str">
        <f aca="false">IFERROR(VALUE(TRIM(LEFT(RIGHT(I404,18),11))),"")</f>
        <v/>
      </c>
      <c r="N404" s="13" t="str">
        <f aca="false">IFERROR(VALUE(TRIM(LEFT(RIGHT(M404,18),11))),"")</f>
        <v/>
      </c>
    </row>
    <row r="405" customFormat="false" ht="14.25" hidden="false" customHeight="true" outlineLevel="0" collapsed="false">
      <c r="A405" s="12" t="str">
        <f aca="false">IF(E405="","",E405)</f>
        <v/>
      </c>
      <c r="B405" s="12" t="str">
        <f aca="false">IF(J405="","",J405)</f>
        <v/>
      </c>
      <c r="C405" s="12" t="str">
        <f aca="false">IF(N405="","",N405)</f>
        <v/>
      </c>
      <c r="E405" s="13" t="str">
        <f aca="false">IFERROR(VALUE(TRIM(LEFT(RIGHT(D405,18),11))),"")</f>
        <v/>
      </c>
      <c r="J405" s="13" t="str">
        <f aca="false">IFERROR(VALUE(TRIM(LEFT(RIGHT(I405,18),11))),"")</f>
        <v/>
      </c>
      <c r="N405" s="13" t="str">
        <f aca="false">IFERROR(VALUE(TRIM(LEFT(RIGHT(M405,18),11))),"")</f>
        <v/>
      </c>
    </row>
    <row r="406" customFormat="false" ht="14.25" hidden="false" customHeight="true" outlineLevel="0" collapsed="false">
      <c r="A406" s="12" t="str">
        <f aca="false">IF(E406="","",E406)</f>
        <v/>
      </c>
      <c r="B406" s="12" t="str">
        <f aca="false">IF(J406="","",J406)</f>
        <v/>
      </c>
      <c r="C406" s="12" t="str">
        <f aca="false">IF(N406="","",N406)</f>
        <v/>
      </c>
      <c r="E406" s="13" t="str">
        <f aca="false">IFERROR(VALUE(TRIM(LEFT(RIGHT(D406,18),11))),"")</f>
        <v/>
      </c>
      <c r="J406" s="13" t="str">
        <f aca="false">IFERROR(VALUE(TRIM(LEFT(RIGHT(I406,18),11))),"")</f>
        <v/>
      </c>
      <c r="N406" s="13" t="str">
        <f aca="false">IFERROR(VALUE(TRIM(LEFT(RIGHT(M406,18),11))),"")</f>
        <v/>
      </c>
    </row>
    <row r="407" customFormat="false" ht="14.25" hidden="false" customHeight="true" outlineLevel="0" collapsed="false">
      <c r="A407" s="12" t="str">
        <f aca="false">IF(E407="","",E407)</f>
        <v/>
      </c>
      <c r="B407" s="12" t="str">
        <f aca="false">IF(J407="","",J407)</f>
        <v/>
      </c>
      <c r="C407" s="12" t="str">
        <f aca="false">IF(N407="","",N407)</f>
        <v/>
      </c>
      <c r="E407" s="13" t="str">
        <f aca="false">IFERROR(VALUE(TRIM(LEFT(RIGHT(D407,18),11))),"")</f>
        <v/>
      </c>
      <c r="J407" s="13" t="str">
        <f aca="false">IFERROR(VALUE(TRIM(LEFT(RIGHT(I407,18),11))),"")</f>
        <v/>
      </c>
      <c r="N407" s="13" t="str">
        <f aca="false">IFERROR(VALUE(TRIM(LEFT(RIGHT(M407,18),11))),"")</f>
        <v/>
      </c>
    </row>
    <row r="408" customFormat="false" ht="14.25" hidden="false" customHeight="true" outlineLevel="0" collapsed="false">
      <c r="A408" s="12" t="str">
        <f aca="false">IF(E408="","",E408)</f>
        <v/>
      </c>
      <c r="B408" s="12" t="str">
        <f aca="false">IF(J408="","",J408)</f>
        <v/>
      </c>
      <c r="C408" s="12" t="str">
        <f aca="false">IF(N408="","",N408)</f>
        <v/>
      </c>
      <c r="E408" s="13" t="str">
        <f aca="false">IFERROR(VALUE(TRIM(LEFT(RIGHT(D408,18),11))),"")</f>
        <v/>
      </c>
      <c r="J408" s="13" t="str">
        <f aca="false">IFERROR(VALUE(TRIM(LEFT(RIGHT(I408,18),11))),"")</f>
        <v/>
      </c>
      <c r="N408" s="13" t="str">
        <f aca="false">IFERROR(VALUE(TRIM(LEFT(RIGHT(M408,18),11))),"")</f>
        <v/>
      </c>
    </row>
    <row r="409" customFormat="false" ht="14.25" hidden="false" customHeight="true" outlineLevel="0" collapsed="false">
      <c r="A409" s="12" t="str">
        <f aca="false">IF(E409="","",E409)</f>
        <v/>
      </c>
      <c r="B409" s="12" t="str">
        <f aca="false">IF(J409="","",J409)</f>
        <v/>
      </c>
      <c r="C409" s="12" t="str">
        <f aca="false">IF(N409="","",N409)</f>
        <v/>
      </c>
      <c r="E409" s="13" t="str">
        <f aca="false">IFERROR(VALUE(TRIM(LEFT(RIGHT(D409,18),11))),"")</f>
        <v/>
      </c>
      <c r="J409" s="13" t="str">
        <f aca="false">IFERROR(VALUE(TRIM(LEFT(RIGHT(I409,18),11))),"")</f>
        <v/>
      </c>
      <c r="N409" s="13" t="str">
        <f aca="false">IFERROR(VALUE(TRIM(LEFT(RIGHT(M409,18),11))),"")</f>
        <v/>
      </c>
    </row>
    <row r="410" customFormat="false" ht="14.25" hidden="false" customHeight="true" outlineLevel="0" collapsed="false">
      <c r="A410" s="12" t="str">
        <f aca="false">IF(E410="","",E410)</f>
        <v/>
      </c>
      <c r="B410" s="12" t="str">
        <f aca="false">IF(J410="","",J410)</f>
        <v/>
      </c>
      <c r="C410" s="12" t="str">
        <f aca="false">IF(N410="","",N410)</f>
        <v/>
      </c>
      <c r="E410" s="13" t="str">
        <f aca="false">IFERROR(VALUE(TRIM(LEFT(RIGHT(D410,18),11))),"")</f>
        <v/>
      </c>
      <c r="J410" s="13" t="str">
        <f aca="false">IFERROR(VALUE(TRIM(LEFT(RIGHT(I410,18),11))),"")</f>
        <v/>
      </c>
      <c r="N410" s="13" t="str">
        <f aca="false">IFERROR(VALUE(TRIM(LEFT(RIGHT(M410,18),11))),"")</f>
        <v/>
      </c>
    </row>
    <row r="411" customFormat="false" ht="14.25" hidden="false" customHeight="true" outlineLevel="0" collapsed="false">
      <c r="A411" s="12" t="str">
        <f aca="false">IF(E411="","",E411)</f>
        <v/>
      </c>
      <c r="B411" s="12" t="str">
        <f aca="false">IF(J411="","",J411)</f>
        <v/>
      </c>
      <c r="C411" s="12" t="str">
        <f aca="false">IF(N411="","",N411)</f>
        <v/>
      </c>
      <c r="E411" s="13" t="str">
        <f aca="false">IFERROR(VALUE(TRIM(LEFT(RIGHT(D411,18),11))),"")</f>
        <v/>
      </c>
      <c r="J411" s="13" t="str">
        <f aca="false">IFERROR(VALUE(TRIM(LEFT(RIGHT(I411,18),11))),"")</f>
        <v/>
      </c>
      <c r="N411" s="13" t="str">
        <f aca="false">IFERROR(VALUE(TRIM(LEFT(RIGHT(M411,18),11))),"")</f>
        <v/>
      </c>
    </row>
    <row r="412" customFormat="false" ht="14.25" hidden="false" customHeight="true" outlineLevel="0" collapsed="false">
      <c r="A412" s="12" t="str">
        <f aca="false">IF(E412="","",E412)</f>
        <v/>
      </c>
      <c r="B412" s="12" t="str">
        <f aca="false">IF(J412="","",J412)</f>
        <v/>
      </c>
      <c r="C412" s="12" t="str">
        <f aca="false">IF(N412="","",N412)</f>
        <v/>
      </c>
      <c r="E412" s="13" t="str">
        <f aca="false">IFERROR(VALUE(TRIM(LEFT(RIGHT(D412,18),11))),"")</f>
        <v/>
      </c>
      <c r="J412" s="13" t="str">
        <f aca="false">IFERROR(VALUE(TRIM(LEFT(RIGHT(I412,18),11))),"")</f>
        <v/>
      </c>
      <c r="N412" s="13" t="str">
        <f aca="false">IFERROR(VALUE(TRIM(LEFT(RIGHT(M412,18),11))),"")</f>
        <v/>
      </c>
    </row>
    <row r="413" customFormat="false" ht="14.25" hidden="false" customHeight="true" outlineLevel="0" collapsed="false">
      <c r="A413" s="12" t="str">
        <f aca="false">IF(E413="","",E413)</f>
        <v/>
      </c>
      <c r="B413" s="12" t="str">
        <f aca="false">IF(J413="","",J413)</f>
        <v/>
      </c>
      <c r="C413" s="12" t="str">
        <f aca="false">IF(N413="","",N413)</f>
        <v/>
      </c>
      <c r="E413" s="13" t="str">
        <f aca="false">IFERROR(VALUE(TRIM(LEFT(RIGHT(D413,18),11))),"")</f>
        <v/>
      </c>
      <c r="J413" s="13" t="str">
        <f aca="false">IFERROR(VALUE(TRIM(LEFT(RIGHT(I413,18),11))),"")</f>
        <v/>
      </c>
      <c r="N413" s="13" t="str">
        <f aca="false">IFERROR(VALUE(TRIM(LEFT(RIGHT(M413,18),11))),"")</f>
        <v/>
      </c>
    </row>
    <row r="414" customFormat="false" ht="14.25" hidden="false" customHeight="true" outlineLevel="0" collapsed="false">
      <c r="A414" s="12" t="str">
        <f aca="false">IF(E414="","",E414)</f>
        <v/>
      </c>
      <c r="B414" s="12" t="str">
        <f aca="false">IF(J414="","",J414)</f>
        <v/>
      </c>
      <c r="C414" s="12" t="str">
        <f aca="false">IF(N414="","",N414)</f>
        <v/>
      </c>
      <c r="E414" s="13" t="str">
        <f aca="false">IFERROR(VALUE(TRIM(LEFT(RIGHT(D414,18),11))),"")</f>
        <v/>
      </c>
      <c r="J414" s="13" t="str">
        <f aca="false">IFERROR(VALUE(TRIM(LEFT(RIGHT(I414,18),11))),"")</f>
        <v/>
      </c>
      <c r="N414" s="13" t="str">
        <f aca="false">IFERROR(VALUE(TRIM(LEFT(RIGHT(M414,18),11))),"")</f>
        <v/>
      </c>
    </row>
    <row r="415" customFormat="false" ht="14.25" hidden="false" customHeight="true" outlineLevel="0" collapsed="false">
      <c r="A415" s="12" t="str">
        <f aca="false">IF(E415="","",E415)</f>
        <v/>
      </c>
      <c r="B415" s="12" t="str">
        <f aca="false">IF(J415="","",J415)</f>
        <v/>
      </c>
      <c r="C415" s="12" t="str">
        <f aca="false">IF(N415="","",N415)</f>
        <v/>
      </c>
      <c r="E415" s="13" t="str">
        <f aca="false">IFERROR(VALUE(TRIM(LEFT(RIGHT(D415,18),11))),"")</f>
        <v/>
      </c>
      <c r="J415" s="13" t="str">
        <f aca="false">IFERROR(VALUE(TRIM(LEFT(RIGHT(I415,18),11))),"")</f>
        <v/>
      </c>
      <c r="N415" s="13" t="str">
        <f aca="false">IFERROR(VALUE(TRIM(LEFT(RIGHT(M415,18),11))),"")</f>
        <v/>
      </c>
    </row>
    <row r="416" customFormat="false" ht="14.25" hidden="false" customHeight="true" outlineLevel="0" collapsed="false">
      <c r="A416" s="12" t="str">
        <f aca="false">IF(E416="","",E416)</f>
        <v/>
      </c>
      <c r="B416" s="12" t="str">
        <f aca="false">IF(J416="","",J416)</f>
        <v/>
      </c>
      <c r="C416" s="12" t="str">
        <f aca="false">IF(N416="","",N416)</f>
        <v/>
      </c>
      <c r="E416" s="13" t="str">
        <f aca="false">IFERROR(VALUE(TRIM(LEFT(RIGHT(D416,18),11))),"")</f>
        <v/>
      </c>
      <c r="J416" s="13" t="str">
        <f aca="false">IFERROR(VALUE(TRIM(LEFT(RIGHT(I416,18),11))),"")</f>
        <v/>
      </c>
      <c r="N416" s="13" t="str">
        <f aca="false">IFERROR(VALUE(TRIM(LEFT(RIGHT(M416,18),11))),"")</f>
        <v/>
      </c>
    </row>
    <row r="417" customFormat="false" ht="14.25" hidden="false" customHeight="true" outlineLevel="0" collapsed="false">
      <c r="A417" s="12" t="str">
        <f aca="false">IF(E417="","",E417)</f>
        <v/>
      </c>
      <c r="B417" s="12" t="str">
        <f aca="false">IF(J417="","",J417)</f>
        <v/>
      </c>
      <c r="C417" s="12" t="str">
        <f aca="false">IF(N417="","",N417)</f>
        <v/>
      </c>
      <c r="E417" s="13" t="str">
        <f aca="false">IFERROR(VALUE(TRIM(LEFT(RIGHT(D417,18),11))),"")</f>
        <v/>
      </c>
      <c r="J417" s="13" t="str">
        <f aca="false">IFERROR(VALUE(TRIM(LEFT(RIGHT(I417,18),11))),"")</f>
        <v/>
      </c>
      <c r="N417" s="13" t="str">
        <f aca="false">IFERROR(VALUE(TRIM(LEFT(RIGHT(M417,18),11))),"")</f>
        <v/>
      </c>
    </row>
    <row r="418" customFormat="false" ht="14.25" hidden="false" customHeight="true" outlineLevel="0" collapsed="false">
      <c r="A418" s="12" t="str">
        <f aca="false">IF(E418="","",E418)</f>
        <v/>
      </c>
      <c r="B418" s="12" t="str">
        <f aca="false">IF(J418="","",J418)</f>
        <v/>
      </c>
      <c r="C418" s="12" t="str">
        <f aca="false">IF(N418="","",N418)</f>
        <v/>
      </c>
      <c r="E418" s="13" t="str">
        <f aca="false">IFERROR(VALUE(TRIM(LEFT(RIGHT(D418,18),11))),"")</f>
        <v/>
      </c>
      <c r="J418" s="13" t="str">
        <f aca="false">IFERROR(VALUE(TRIM(LEFT(RIGHT(I418,18),11))),"")</f>
        <v/>
      </c>
      <c r="N418" s="13" t="str">
        <f aca="false">IFERROR(VALUE(TRIM(LEFT(RIGHT(M418,18),11))),"")</f>
        <v/>
      </c>
    </row>
    <row r="419" customFormat="false" ht="14.25" hidden="false" customHeight="true" outlineLevel="0" collapsed="false">
      <c r="A419" s="12" t="str">
        <f aca="false">IF(E419="","",E419)</f>
        <v/>
      </c>
      <c r="B419" s="12" t="str">
        <f aca="false">IF(J419="","",J419)</f>
        <v/>
      </c>
      <c r="C419" s="12" t="str">
        <f aca="false">IF(N419="","",N419)</f>
        <v/>
      </c>
      <c r="E419" s="13" t="str">
        <f aca="false">IFERROR(VALUE(TRIM(LEFT(RIGHT(D419,18),11))),"")</f>
        <v/>
      </c>
      <c r="J419" s="13" t="str">
        <f aca="false">IFERROR(VALUE(TRIM(LEFT(RIGHT(I419,18),11))),"")</f>
        <v/>
      </c>
      <c r="N419" s="13" t="str">
        <f aca="false">IFERROR(VALUE(TRIM(LEFT(RIGHT(M419,18),11))),"")</f>
        <v/>
      </c>
    </row>
    <row r="420" customFormat="false" ht="14.25" hidden="false" customHeight="true" outlineLevel="0" collapsed="false">
      <c r="A420" s="12" t="str">
        <f aca="false">IF(E420="","",E420)</f>
        <v/>
      </c>
      <c r="B420" s="12" t="str">
        <f aca="false">IF(J420="","",J420)</f>
        <v/>
      </c>
      <c r="C420" s="12" t="str">
        <f aca="false">IF(N420="","",N420)</f>
        <v/>
      </c>
      <c r="E420" s="13" t="str">
        <f aca="false">IFERROR(VALUE(TRIM(LEFT(RIGHT(D420,18),11))),"")</f>
        <v/>
      </c>
      <c r="J420" s="13" t="str">
        <f aca="false">IFERROR(VALUE(TRIM(LEFT(RIGHT(I420,18),11))),"")</f>
        <v/>
      </c>
      <c r="N420" s="13" t="str">
        <f aca="false">IFERROR(VALUE(TRIM(LEFT(RIGHT(M420,18),11))),"")</f>
        <v/>
      </c>
    </row>
    <row r="421" customFormat="false" ht="14.25" hidden="false" customHeight="true" outlineLevel="0" collapsed="false">
      <c r="A421" s="12" t="str">
        <f aca="false">IF(E421="","",E421)</f>
        <v/>
      </c>
      <c r="B421" s="12" t="str">
        <f aca="false">IF(J421="","",J421)</f>
        <v/>
      </c>
      <c r="C421" s="12" t="str">
        <f aca="false">IF(N421="","",N421)</f>
        <v/>
      </c>
      <c r="E421" s="13" t="str">
        <f aca="false">IFERROR(VALUE(TRIM(LEFT(RIGHT(D421,18),11))),"")</f>
        <v/>
      </c>
      <c r="J421" s="13" t="str">
        <f aca="false">IFERROR(VALUE(TRIM(LEFT(RIGHT(I421,18),11))),"")</f>
        <v/>
      </c>
      <c r="N421" s="13" t="str">
        <f aca="false">IFERROR(VALUE(TRIM(LEFT(RIGHT(M421,18),11))),"")</f>
        <v/>
      </c>
    </row>
    <row r="422" customFormat="false" ht="14.25" hidden="false" customHeight="true" outlineLevel="0" collapsed="false">
      <c r="A422" s="12" t="str">
        <f aca="false">IF(E422="","",E422)</f>
        <v/>
      </c>
      <c r="B422" s="12" t="str">
        <f aca="false">IF(J422="","",J422)</f>
        <v/>
      </c>
      <c r="C422" s="12" t="str">
        <f aca="false">IF(N422="","",N422)</f>
        <v/>
      </c>
      <c r="E422" s="13" t="str">
        <f aca="false">IFERROR(VALUE(TRIM(LEFT(RIGHT(D422,18),11))),"")</f>
        <v/>
      </c>
      <c r="J422" s="13" t="str">
        <f aca="false">IFERROR(VALUE(TRIM(LEFT(RIGHT(I422,18),11))),"")</f>
        <v/>
      </c>
      <c r="N422" s="13" t="str">
        <f aca="false">IFERROR(VALUE(TRIM(LEFT(RIGHT(M422,18),11))),"")</f>
        <v/>
      </c>
    </row>
    <row r="423" customFormat="false" ht="14.25" hidden="false" customHeight="true" outlineLevel="0" collapsed="false">
      <c r="A423" s="12" t="str">
        <f aca="false">IF(E423="","",E423)</f>
        <v/>
      </c>
      <c r="B423" s="12" t="str">
        <f aca="false">IF(J423="","",J423)</f>
        <v/>
      </c>
      <c r="C423" s="12" t="str">
        <f aca="false">IF(N423="","",N423)</f>
        <v/>
      </c>
      <c r="E423" s="13" t="str">
        <f aca="false">IFERROR(VALUE(TRIM(LEFT(RIGHT(D423,18),11))),"")</f>
        <v/>
      </c>
      <c r="J423" s="13" t="str">
        <f aca="false">IFERROR(VALUE(TRIM(LEFT(RIGHT(I423,18),11))),"")</f>
        <v/>
      </c>
      <c r="N423" s="13" t="str">
        <f aca="false">IFERROR(VALUE(TRIM(LEFT(RIGHT(M423,18),11))),"")</f>
        <v/>
      </c>
    </row>
    <row r="424" customFormat="false" ht="14.25" hidden="false" customHeight="true" outlineLevel="0" collapsed="false">
      <c r="A424" s="12" t="str">
        <f aca="false">IF(E424="","",E424)</f>
        <v/>
      </c>
      <c r="B424" s="12" t="str">
        <f aca="false">IF(J424="","",J424)</f>
        <v/>
      </c>
      <c r="C424" s="12" t="str">
        <f aca="false">IF(N424="","",N424)</f>
        <v/>
      </c>
      <c r="E424" s="13" t="str">
        <f aca="false">IFERROR(VALUE(TRIM(LEFT(RIGHT(D424,18),11))),"")</f>
        <v/>
      </c>
      <c r="J424" s="13" t="str">
        <f aca="false">IFERROR(VALUE(TRIM(LEFT(RIGHT(I424,18),11))),"")</f>
        <v/>
      </c>
      <c r="N424" s="13" t="str">
        <f aca="false">IFERROR(VALUE(TRIM(LEFT(RIGHT(M424,18),11))),"")</f>
        <v/>
      </c>
    </row>
    <row r="425" customFormat="false" ht="14.25" hidden="false" customHeight="true" outlineLevel="0" collapsed="false">
      <c r="A425" s="12" t="str">
        <f aca="false">IF(E425="","",E425)</f>
        <v/>
      </c>
      <c r="B425" s="12" t="str">
        <f aca="false">IF(J425="","",J425)</f>
        <v/>
      </c>
      <c r="C425" s="12" t="str">
        <f aca="false">IF(N425="","",N425)</f>
        <v/>
      </c>
      <c r="E425" s="13" t="str">
        <f aca="false">IFERROR(VALUE(TRIM(LEFT(RIGHT(D425,18),11))),"")</f>
        <v/>
      </c>
      <c r="J425" s="13" t="str">
        <f aca="false">IFERROR(VALUE(TRIM(LEFT(RIGHT(I425,18),11))),"")</f>
        <v/>
      </c>
      <c r="N425" s="13" t="str">
        <f aca="false">IFERROR(VALUE(TRIM(LEFT(RIGHT(M425,18),11))),"")</f>
        <v/>
      </c>
    </row>
    <row r="426" customFormat="false" ht="14.25" hidden="false" customHeight="true" outlineLevel="0" collapsed="false">
      <c r="A426" s="12" t="str">
        <f aca="false">IF(E426="","",E426)</f>
        <v/>
      </c>
      <c r="B426" s="12" t="str">
        <f aca="false">IF(J426="","",J426)</f>
        <v/>
      </c>
      <c r="C426" s="12" t="str">
        <f aca="false">IF(N426="","",N426)</f>
        <v/>
      </c>
      <c r="E426" s="13" t="str">
        <f aca="false">IFERROR(VALUE(TRIM(LEFT(RIGHT(D426,18),11))),"")</f>
        <v/>
      </c>
      <c r="J426" s="13" t="str">
        <f aca="false">IFERROR(VALUE(TRIM(LEFT(RIGHT(I426,18),11))),"")</f>
        <v/>
      </c>
      <c r="N426" s="13" t="str">
        <f aca="false">IFERROR(VALUE(TRIM(LEFT(RIGHT(M426,18),11))),"")</f>
        <v/>
      </c>
    </row>
    <row r="427" customFormat="false" ht="14.25" hidden="false" customHeight="true" outlineLevel="0" collapsed="false">
      <c r="A427" s="12" t="str">
        <f aca="false">IF(E427="","",E427)</f>
        <v/>
      </c>
      <c r="B427" s="12" t="str">
        <f aca="false">IF(J427="","",J427)</f>
        <v/>
      </c>
      <c r="C427" s="12" t="str">
        <f aca="false">IF(N427="","",N427)</f>
        <v/>
      </c>
      <c r="E427" s="13" t="str">
        <f aca="false">IFERROR(VALUE(TRIM(LEFT(RIGHT(D427,18),11))),"")</f>
        <v/>
      </c>
      <c r="J427" s="13" t="str">
        <f aca="false">IFERROR(VALUE(TRIM(LEFT(RIGHT(I427,18),11))),"")</f>
        <v/>
      </c>
      <c r="N427" s="13" t="str">
        <f aca="false">IFERROR(VALUE(TRIM(LEFT(RIGHT(M427,18),11))),"")</f>
        <v/>
      </c>
    </row>
    <row r="428" customFormat="false" ht="14.25" hidden="false" customHeight="true" outlineLevel="0" collapsed="false">
      <c r="A428" s="12" t="str">
        <f aca="false">IF(E428="","",E428)</f>
        <v/>
      </c>
      <c r="B428" s="12" t="str">
        <f aca="false">IF(J428="","",J428)</f>
        <v/>
      </c>
      <c r="C428" s="12" t="str">
        <f aca="false">IF(N428="","",N428)</f>
        <v/>
      </c>
      <c r="E428" s="13" t="str">
        <f aca="false">IFERROR(VALUE(TRIM(LEFT(RIGHT(D428,18),11))),"")</f>
        <v/>
      </c>
      <c r="J428" s="13" t="str">
        <f aca="false">IFERROR(VALUE(TRIM(LEFT(RIGHT(I428,18),11))),"")</f>
        <v/>
      </c>
      <c r="N428" s="13" t="str">
        <f aca="false">IFERROR(VALUE(TRIM(LEFT(RIGHT(M428,18),11))),"")</f>
        <v/>
      </c>
    </row>
    <row r="429" customFormat="false" ht="14.25" hidden="false" customHeight="true" outlineLevel="0" collapsed="false">
      <c r="A429" s="12" t="str">
        <f aca="false">IF(E429="","",E429)</f>
        <v/>
      </c>
      <c r="B429" s="12" t="str">
        <f aca="false">IF(J429="","",J429)</f>
        <v/>
      </c>
      <c r="C429" s="12" t="str">
        <f aca="false">IF(N429="","",N429)</f>
        <v/>
      </c>
      <c r="E429" s="13" t="str">
        <f aca="false">IFERROR(VALUE(TRIM(LEFT(RIGHT(D429,18),11))),"")</f>
        <v/>
      </c>
      <c r="J429" s="13" t="str">
        <f aca="false">IFERROR(VALUE(TRIM(LEFT(RIGHT(I429,18),11))),"")</f>
        <v/>
      </c>
      <c r="N429" s="13" t="str">
        <f aca="false">IFERROR(VALUE(TRIM(LEFT(RIGHT(M429,18),11))),"")</f>
        <v/>
      </c>
    </row>
    <row r="430" customFormat="false" ht="14.25" hidden="false" customHeight="true" outlineLevel="0" collapsed="false">
      <c r="A430" s="12" t="str">
        <f aca="false">IF(E430="","",E430)</f>
        <v/>
      </c>
      <c r="B430" s="12" t="str">
        <f aca="false">IF(J430="","",J430)</f>
        <v/>
      </c>
      <c r="C430" s="12" t="str">
        <f aca="false">IF(N430="","",N430)</f>
        <v/>
      </c>
      <c r="E430" s="13" t="str">
        <f aca="false">IFERROR(VALUE(TRIM(LEFT(RIGHT(D430,18),11))),"")</f>
        <v/>
      </c>
      <c r="J430" s="13" t="str">
        <f aca="false">IFERROR(VALUE(TRIM(LEFT(RIGHT(I430,18),11))),"")</f>
        <v/>
      </c>
      <c r="N430" s="13" t="str">
        <f aca="false">IFERROR(VALUE(TRIM(LEFT(RIGHT(M430,18),11))),"")</f>
        <v/>
      </c>
    </row>
    <row r="431" customFormat="false" ht="14.25" hidden="false" customHeight="true" outlineLevel="0" collapsed="false">
      <c r="A431" s="12" t="str">
        <f aca="false">IF(E431="","",E431)</f>
        <v/>
      </c>
      <c r="B431" s="12" t="str">
        <f aca="false">IF(J431="","",J431)</f>
        <v/>
      </c>
      <c r="C431" s="12" t="str">
        <f aca="false">IF(N431="","",N431)</f>
        <v/>
      </c>
      <c r="E431" s="13" t="str">
        <f aca="false">IFERROR(VALUE(TRIM(LEFT(RIGHT(D431,18),11))),"")</f>
        <v/>
      </c>
      <c r="J431" s="13" t="str">
        <f aca="false">IFERROR(VALUE(TRIM(LEFT(RIGHT(I431,18),11))),"")</f>
        <v/>
      </c>
      <c r="N431" s="13" t="str">
        <f aca="false">IFERROR(VALUE(TRIM(LEFT(RIGHT(M431,18),11))),"")</f>
        <v/>
      </c>
    </row>
    <row r="432" customFormat="false" ht="14.25" hidden="false" customHeight="true" outlineLevel="0" collapsed="false">
      <c r="A432" s="12" t="str">
        <f aca="false">IF(E432="","",E432)</f>
        <v/>
      </c>
      <c r="B432" s="12" t="str">
        <f aca="false">IF(J432="","",J432)</f>
        <v/>
      </c>
      <c r="C432" s="12" t="str">
        <f aca="false">IF(N432="","",N432)</f>
        <v/>
      </c>
      <c r="E432" s="13" t="str">
        <f aca="false">IFERROR(VALUE(TRIM(LEFT(RIGHT(D432,18),11))),"")</f>
        <v/>
      </c>
      <c r="J432" s="13" t="str">
        <f aca="false">IFERROR(VALUE(TRIM(LEFT(RIGHT(I432,18),11))),"")</f>
        <v/>
      </c>
      <c r="N432" s="13" t="str">
        <f aca="false">IFERROR(VALUE(TRIM(LEFT(RIGHT(M432,18),11))),"")</f>
        <v/>
      </c>
    </row>
    <row r="433" customFormat="false" ht="14.25" hidden="false" customHeight="true" outlineLevel="0" collapsed="false">
      <c r="A433" s="12" t="str">
        <f aca="false">IF(E433="","",E433)</f>
        <v/>
      </c>
      <c r="B433" s="12" t="str">
        <f aca="false">IF(J433="","",J433)</f>
        <v/>
      </c>
      <c r="C433" s="12" t="str">
        <f aca="false">IF(N433="","",N433)</f>
        <v/>
      </c>
      <c r="E433" s="13" t="str">
        <f aca="false">IFERROR(VALUE(TRIM(LEFT(RIGHT(D433,18),11))),"")</f>
        <v/>
      </c>
      <c r="J433" s="13" t="str">
        <f aca="false">IFERROR(VALUE(TRIM(LEFT(RIGHT(I433,18),11))),"")</f>
        <v/>
      </c>
      <c r="N433" s="13" t="str">
        <f aca="false">IFERROR(VALUE(TRIM(LEFT(RIGHT(M433,18),11))),"")</f>
        <v/>
      </c>
    </row>
    <row r="434" customFormat="false" ht="14.25" hidden="false" customHeight="true" outlineLevel="0" collapsed="false">
      <c r="A434" s="12" t="str">
        <f aca="false">IF(E434="","",E434)</f>
        <v/>
      </c>
      <c r="B434" s="12" t="str">
        <f aca="false">IF(J434="","",J434)</f>
        <v/>
      </c>
      <c r="C434" s="12" t="str">
        <f aca="false">IF(N434="","",N434)</f>
        <v/>
      </c>
      <c r="E434" s="13" t="str">
        <f aca="false">IFERROR(VALUE(TRIM(LEFT(RIGHT(D434,18),11))),"")</f>
        <v/>
      </c>
      <c r="J434" s="13" t="str">
        <f aca="false">IFERROR(VALUE(TRIM(LEFT(RIGHT(I434,18),11))),"")</f>
        <v/>
      </c>
      <c r="N434" s="13" t="str">
        <f aca="false">IFERROR(VALUE(TRIM(LEFT(RIGHT(M434,18),11))),"")</f>
        <v/>
      </c>
    </row>
    <row r="435" customFormat="false" ht="14.25" hidden="false" customHeight="true" outlineLevel="0" collapsed="false">
      <c r="A435" s="12" t="str">
        <f aca="false">IF(E435="","",E435)</f>
        <v/>
      </c>
      <c r="B435" s="12" t="str">
        <f aca="false">IF(J435="","",J435)</f>
        <v/>
      </c>
      <c r="C435" s="12" t="str">
        <f aca="false">IF(N435="","",N435)</f>
        <v/>
      </c>
      <c r="E435" s="13" t="str">
        <f aca="false">IFERROR(VALUE(TRIM(LEFT(RIGHT(D435,18),11))),"")</f>
        <v/>
      </c>
      <c r="J435" s="13" t="str">
        <f aca="false">IFERROR(VALUE(TRIM(LEFT(RIGHT(I435,18),11))),"")</f>
        <v/>
      </c>
      <c r="N435" s="13" t="str">
        <f aca="false">IFERROR(VALUE(TRIM(LEFT(RIGHT(M435,18),11))),"")</f>
        <v/>
      </c>
    </row>
    <row r="436" customFormat="false" ht="14.25" hidden="false" customHeight="true" outlineLevel="0" collapsed="false">
      <c r="A436" s="12" t="str">
        <f aca="false">IF(E436="","",E436)</f>
        <v/>
      </c>
      <c r="B436" s="12" t="str">
        <f aca="false">IF(J436="","",J436)</f>
        <v/>
      </c>
      <c r="C436" s="12" t="str">
        <f aca="false">IF(N436="","",N436)</f>
        <v/>
      </c>
      <c r="E436" s="13" t="str">
        <f aca="false">IFERROR(VALUE(TRIM(LEFT(RIGHT(D436,18),11))),"")</f>
        <v/>
      </c>
      <c r="J436" s="13" t="str">
        <f aca="false">IFERROR(VALUE(TRIM(LEFT(RIGHT(I436,18),11))),"")</f>
        <v/>
      </c>
      <c r="N436" s="13" t="str">
        <f aca="false">IFERROR(VALUE(TRIM(LEFT(RIGHT(M436,18),11))),"")</f>
        <v/>
      </c>
    </row>
    <row r="437" customFormat="false" ht="14.25" hidden="false" customHeight="true" outlineLevel="0" collapsed="false">
      <c r="A437" s="12" t="str">
        <f aca="false">IF(E437="","",E437)</f>
        <v/>
      </c>
      <c r="B437" s="12" t="str">
        <f aca="false">IF(J437="","",J437)</f>
        <v/>
      </c>
      <c r="C437" s="12" t="str">
        <f aca="false">IF(N437="","",N437)</f>
        <v/>
      </c>
      <c r="E437" s="13" t="str">
        <f aca="false">IFERROR(VALUE(TRIM(LEFT(RIGHT(D437,18),11))),"")</f>
        <v/>
      </c>
      <c r="J437" s="13" t="str">
        <f aca="false">IFERROR(VALUE(TRIM(LEFT(RIGHT(I437,18),11))),"")</f>
        <v/>
      </c>
      <c r="N437" s="13" t="str">
        <f aca="false">IFERROR(VALUE(TRIM(LEFT(RIGHT(M437,18),11))),"")</f>
        <v/>
      </c>
    </row>
    <row r="438" customFormat="false" ht="14.25" hidden="false" customHeight="true" outlineLevel="0" collapsed="false">
      <c r="A438" s="12" t="str">
        <f aca="false">IF(E438="","",E438)</f>
        <v/>
      </c>
      <c r="B438" s="12" t="str">
        <f aca="false">IF(J438="","",J438)</f>
        <v/>
      </c>
      <c r="C438" s="12" t="str">
        <f aca="false">IF(N438="","",N438)</f>
        <v/>
      </c>
      <c r="E438" s="13" t="str">
        <f aca="false">IFERROR(VALUE(TRIM(LEFT(RIGHT(D438,18),11))),"")</f>
        <v/>
      </c>
      <c r="J438" s="13" t="str">
        <f aca="false">IFERROR(VALUE(TRIM(LEFT(RIGHT(I438,18),11))),"")</f>
        <v/>
      </c>
      <c r="N438" s="13" t="str">
        <f aca="false">IFERROR(VALUE(TRIM(LEFT(RIGHT(M438,18),11))),"")</f>
        <v/>
      </c>
    </row>
    <row r="439" customFormat="false" ht="14.25" hidden="false" customHeight="true" outlineLevel="0" collapsed="false">
      <c r="A439" s="12" t="str">
        <f aca="false">IF(E439="","",E439)</f>
        <v/>
      </c>
      <c r="B439" s="12" t="str">
        <f aca="false">IF(J439="","",J439)</f>
        <v/>
      </c>
      <c r="C439" s="12" t="str">
        <f aca="false">IF(N439="","",N439)</f>
        <v/>
      </c>
      <c r="E439" s="13" t="str">
        <f aca="false">IFERROR(VALUE(TRIM(LEFT(RIGHT(D439,18),11))),"")</f>
        <v/>
      </c>
      <c r="J439" s="13" t="str">
        <f aca="false">IFERROR(VALUE(TRIM(LEFT(RIGHT(I439,18),11))),"")</f>
        <v/>
      </c>
      <c r="N439" s="13" t="str">
        <f aca="false">IFERROR(VALUE(TRIM(LEFT(RIGHT(M439,18),11))),"")</f>
        <v/>
      </c>
    </row>
    <row r="440" customFormat="false" ht="14.25" hidden="false" customHeight="true" outlineLevel="0" collapsed="false">
      <c r="A440" s="12" t="str">
        <f aca="false">IF(E440="","",E440)</f>
        <v/>
      </c>
      <c r="B440" s="12" t="str">
        <f aca="false">IF(J440="","",J440)</f>
        <v/>
      </c>
      <c r="C440" s="12" t="str">
        <f aca="false">IF(N440="","",N440)</f>
        <v/>
      </c>
      <c r="E440" s="13" t="str">
        <f aca="false">IFERROR(VALUE(TRIM(LEFT(RIGHT(D440,18),11))),"")</f>
        <v/>
      </c>
      <c r="J440" s="13" t="str">
        <f aca="false">IFERROR(VALUE(TRIM(LEFT(RIGHT(I440,18),11))),"")</f>
        <v/>
      </c>
      <c r="N440" s="13" t="str">
        <f aca="false">IFERROR(VALUE(TRIM(LEFT(RIGHT(M440,18),11))),"")</f>
        <v/>
      </c>
    </row>
    <row r="441" customFormat="false" ht="14.25" hidden="false" customHeight="true" outlineLevel="0" collapsed="false">
      <c r="A441" s="12" t="str">
        <f aca="false">IF(E441="","",E441)</f>
        <v/>
      </c>
      <c r="B441" s="12" t="str">
        <f aca="false">IF(J441="","",J441)</f>
        <v/>
      </c>
      <c r="C441" s="12" t="str">
        <f aca="false">IF(N441="","",N441)</f>
        <v/>
      </c>
      <c r="E441" s="13" t="str">
        <f aca="false">IFERROR(VALUE(TRIM(LEFT(RIGHT(D441,18),11))),"")</f>
        <v/>
      </c>
      <c r="J441" s="13" t="str">
        <f aca="false">IFERROR(VALUE(TRIM(LEFT(RIGHT(I441,18),11))),"")</f>
        <v/>
      </c>
      <c r="N441" s="13" t="str">
        <f aca="false">IFERROR(VALUE(TRIM(LEFT(RIGHT(M441,18),11))),"")</f>
        <v/>
      </c>
    </row>
    <row r="442" customFormat="false" ht="14.25" hidden="false" customHeight="true" outlineLevel="0" collapsed="false">
      <c r="A442" s="12" t="str">
        <f aca="false">IF(E442="","",E442)</f>
        <v/>
      </c>
      <c r="B442" s="12" t="str">
        <f aca="false">IF(J442="","",J442)</f>
        <v/>
      </c>
      <c r="C442" s="12" t="str">
        <f aca="false">IF(N442="","",N442)</f>
        <v/>
      </c>
      <c r="E442" s="13" t="str">
        <f aca="false">IFERROR(VALUE(TRIM(LEFT(RIGHT(D442,18),11))),"")</f>
        <v/>
      </c>
      <c r="J442" s="13" t="str">
        <f aca="false">IFERROR(VALUE(TRIM(LEFT(RIGHT(I442,18),11))),"")</f>
        <v/>
      </c>
      <c r="N442" s="13" t="str">
        <f aca="false">IFERROR(VALUE(TRIM(LEFT(RIGHT(M442,18),11))),"")</f>
        <v/>
      </c>
    </row>
    <row r="443" customFormat="false" ht="14.25" hidden="false" customHeight="true" outlineLevel="0" collapsed="false">
      <c r="A443" s="12" t="str">
        <f aca="false">IF(E443="","",E443)</f>
        <v/>
      </c>
      <c r="B443" s="12" t="str">
        <f aca="false">IF(J443="","",J443)</f>
        <v/>
      </c>
      <c r="C443" s="12" t="str">
        <f aca="false">IF(N443="","",N443)</f>
        <v/>
      </c>
      <c r="E443" s="13" t="str">
        <f aca="false">IFERROR(VALUE(TRIM(LEFT(RIGHT(D443,18),11))),"")</f>
        <v/>
      </c>
      <c r="J443" s="13" t="str">
        <f aca="false">IFERROR(VALUE(TRIM(LEFT(RIGHT(I443,18),11))),"")</f>
        <v/>
      </c>
      <c r="N443" s="13" t="str">
        <f aca="false">IFERROR(VALUE(TRIM(LEFT(RIGHT(M443,18),11))),"")</f>
        <v/>
      </c>
    </row>
    <row r="444" customFormat="false" ht="14.25" hidden="false" customHeight="true" outlineLevel="0" collapsed="false">
      <c r="A444" s="12" t="str">
        <f aca="false">IF(E444="","",E444)</f>
        <v/>
      </c>
      <c r="B444" s="12" t="str">
        <f aca="false">IF(J444="","",J444)</f>
        <v/>
      </c>
      <c r="C444" s="12" t="str">
        <f aca="false">IF(N444="","",N444)</f>
        <v/>
      </c>
      <c r="E444" s="13" t="str">
        <f aca="false">IFERROR(VALUE(TRIM(LEFT(RIGHT(D444,18),11))),"")</f>
        <v/>
      </c>
      <c r="J444" s="13" t="str">
        <f aca="false">IFERROR(VALUE(TRIM(LEFT(RIGHT(I444,18),11))),"")</f>
        <v/>
      </c>
      <c r="N444" s="13" t="str">
        <f aca="false">IFERROR(VALUE(TRIM(LEFT(RIGHT(M444,18),11))),"")</f>
        <v/>
      </c>
    </row>
    <row r="445" customFormat="false" ht="14.25" hidden="false" customHeight="true" outlineLevel="0" collapsed="false">
      <c r="A445" s="12" t="str">
        <f aca="false">IF(E445="","",E445)</f>
        <v/>
      </c>
      <c r="B445" s="12" t="str">
        <f aca="false">IF(J445="","",J445)</f>
        <v/>
      </c>
      <c r="C445" s="12" t="str">
        <f aca="false">IF(N445="","",N445)</f>
        <v/>
      </c>
      <c r="E445" s="13" t="str">
        <f aca="false">IFERROR(VALUE(TRIM(LEFT(RIGHT(D445,18),11))),"")</f>
        <v/>
      </c>
      <c r="J445" s="13" t="str">
        <f aca="false">IFERROR(VALUE(TRIM(LEFT(RIGHT(I445,18),11))),"")</f>
        <v/>
      </c>
      <c r="N445" s="13" t="str">
        <f aca="false">IFERROR(VALUE(TRIM(LEFT(RIGHT(M445,18),11))),"")</f>
        <v/>
      </c>
    </row>
    <row r="446" customFormat="false" ht="14.25" hidden="false" customHeight="true" outlineLevel="0" collapsed="false">
      <c r="A446" s="12" t="str">
        <f aca="false">IF(E446="","",E446)</f>
        <v/>
      </c>
      <c r="B446" s="12" t="str">
        <f aca="false">IF(J446="","",J446)</f>
        <v/>
      </c>
      <c r="C446" s="12" t="str">
        <f aca="false">IF(N446="","",N446)</f>
        <v/>
      </c>
      <c r="E446" s="13" t="str">
        <f aca="false">IFERROR(VALUE(TRIM(LEFT(RIGHT(D446,18),11))),"")</f>
        <v/>
      </c>
      <c r="J446" s="13" t="str">
        <f aca="false">IFERROR(VALUE(TRIM(LEFT(RIGHT(I446,18),11))),"")</f>
        <v/>
      </c>
      <c r="N446" s="13" t="str">
        <f aca="false">IFERROR(VALUE(TRIM(LEFT(RIGHT(M446,18),11))),"")</f>
        <v/>
      </c>
    </row>
    <row r="447" customFormat="false" ht="14.25" hidden="false" customHeight="true" outlineLevel="0" collapsed="false">
      <c r="A447" s="12" t="str">
        <f aca="false">IF(E447="","",E447)</f>
        <v/>
      </c>
      <c r="B447" s="12" t="str">
        <f aca="false">IF(J447="","",J447)</f>
        <v/>
      </c>
      <c r="C447" s="12" t="str">
        <f aca="false">IF(N447="","",N447)</f>
        <v/>
      </c>
      <c r="E447" s="13" t="str">
        <f aca="false">IFERROR(VALUE(TRIM(LEFT(RIGHT(D447,18),11))),"")</f>
        <v/>
      </c>
      <c r="J447" s="13" t="str">
        <f aca="false">IFERROR(VALUE(TRIM(LEFT(RIGHT(I447,18),11))),"")</f>
        <v/>
      </c>
      <c r="N447" s="13" t="str">
        <f aca="false">IFERROR(VALUE(TRIM(LEFT(RIGHT(M447,18),11))),"")</f>
        <v/>
      </c>
    </row>
    <row r="448" customFormat="false" ht="14.25" hidden="false" customHeight="true" outlineLevel="0" collapsed="false">
      <c r="A448" s="12" t="str">
        <f aca="false">IF(E448="","",E448)</f>
        <v/>
      </c>
      <c r="B448" s="12" t="str">
        <f aca="false">IF(J448="","",J448)</f>
        <v/>
      </c>
      <c r="C448" s="12" t="str">
        <f aca="false">IF(N448="","",N448)</f>
        <v/>
      </c>
      <c r="E448" s="13" t="str">
        <f aca="false">IFERROR(VALUE(TRIM(LEFT(RIGHT(D448,18),11))),"")</f>
        <v/>
      </c>
      <c r="J448" s="13" t="str">
        <f aca="false">IFERROR(VALUE(TRIM(LEFT(RIGHT(I448,18),11))),"")</f>
        <v/>
      </c>
      <c r="N448" s="13" t="str">
        <f aca="false">IFERROR(VALUE(TRIM(LEFT(RIGHT(M448,18),11))),"")</f>
        <v/>
      </c>
    </row>
    <row r="449" customFormat="false" ht="14.25" hidden="false" customHeight="true" outlineLevel="0" collapsed="false">
      <c r="A449" s="12" t="str">
        <f aca="false">IF(E449="","",E449)</f>
        <v/>
      </c>
      <c r="B449" s="12" t="str">
        <f aca="false">IF(J449="","",J449)</f>
        <v/>
      </c>
      <c r="C449" s="12" t="str">
        <f aca="false">IF(N449="","",N449)</f>
        <v/>
      </c>
      <c r="E449" s="13" t="str">
        <f aca="false">IFERROR(VALUE(TRIM(LEFT(RIGHT(D449,18),11))),"")</f>
        <v/>
      </c>
      <c r="J449" s="13" t="str">
        <f aca="false">IFERROR(VALUE(TRIM(LEFT(RIGHT(I449,18),11))),"")</f>
        <v/>
      </c>
      <c r="N449" s="13" t="str">
        <f aca="false">IFERROR(VALUE(TRIM(LEFT(RIGHT(M449,18),11))),"")</f>
        <v/>
      </c>
    </row>
    <row r="450" customFormat="false" ht="14.25" hidden="false" customHeight="true" outlineLevel="0" collapsed="false">
      <c r="A450" s="12" t="str">
        <f aca="false">IF(E450="","",E450)</f>
        <v/>
      </c>
      <c r="B450" s="12" t="str">
        <f aca="false">IF(J450="","",J450)</f>
        <v/>
      </c>
      <c r="C450" s="12" t="str">
        <f aca="false">IF(N450="","",N450)</f>
        <v/>
      </c>
      <c r="E450" s="13" t="str">
        <f aca="false">IFERROR(VALUE(TRIM(LEFT(RIGHT(D450,18),11))),"")</f>
        <v/>
      </c>
      <c r="J450" s="13" t="str">
        <f aca="false">IFERROR(VALUE(TRIM(LEFT(RIGHT(I450,18),11))),"")</f>
        <v/>
      </c>
      <c r="N450" s="13" t="str">
        <f aca="false">IFERROR(VALUE(TRIM(LEFT(RIGHT(M450,18),11))),"")</f>
        <v/>
      </c>
    </row>
    <row r="451" customFormat="false" ht="14.25" hidden="false" customHeight="true" outlineLevel="0" collapsed="false">
      <c r="A451" s="12" t="str">
        <f aca="false">IF(E451="","",E451)</f>
        <v/>
      </c>
      <c r="B451" s="12" t="str">
        <f aca="false">IF(J451="","",J451)</f>
        <v/>
      </c>
      <c r="C451" s="12" t="str">
        <f aca="false">IF(N451="","",N451)</f>
        <v/>
      </c>
      <c r="E451" s="13" t="str">
        <f aca="false">IFERROR(VALUE(TRIM(LEFT(RIGHT(D451,18),11))),"")</f>
        <v/>
      </c>
      <c r="J451" s="13" t="str">
        <f aca="false">IFERROR(VALUE(TRIM(LEFT(RIGHT(I451,18),11))),"")</f>
        <v/>
      </c>
      <c r="N451" s="13" t="str">
        <f aca="false">IFERROR(VALUE(TRIM(LEFT(RIGHT(M451,18),11))),"")</f>
        <v/>
      </c>
    </row>
    <row r="452" customFormat="false" ht="14.25" hidden="false" customHeight="true" outlineLevel="0" collapsed="false">
      <c r="A452" s="12" t="str">
        <f aca="false">IF(E452="","",E452)</f>
        <v/>
      </c>
      <c r="B452" s="12" t="str">
        <f aca="false">IF(J452="","",J452)</f>
        <v/>
      </c>
      <c r="C452" s="12" t="str">
        <f aca="false">IF(N452="","",N452)</f>
        <v/>
      </c>
      <c r="E452" s="13" t="str">
        <f aca="false">IFERROR(VALUE(TRIM(LEFT(RIGHT(D452,18),11))),"")</f>
        <v/>
      </c>
      <c r="J452" s="13" t="str">
        <f aca="false">IFERROR(VALUE(TRIM(LEFT(RIGHT(I452,18),11))),"")</f>
        <v/>
      </c>
      <c r="N452" s="13" t="str">
        <f aca="false">IFERROR(VALUE(TRIM(LEFT(RIGHT(M452,18),11))),"")</f>
        <v/>
      </c>
    </row>
    <row r="453" customFormat="false" ht="14.25" hidden="false" customHeight="true" outlineLevel="0" collapsed="false">
      <c r="A453" s="12" t="str">
        <f aca="false">IF(E453="","",E453)</f>
        <v/>
      </c>
      <c r="B453" s="12" t="str">
        <f aca="false">IF(J453="","",J453)</f>
        <v/>
      </c>
      <c r="C453" s="12" t="str">
        <f aca="false">IF(N453="","",N453)</f>
        <v/>
      </c>
      <c r="E453" s="13" t="str">
        <f aca="false">IFERROR(VALUE(TRIM(LEFT(RIGHT(D453,18),11))),"")</f>
        <v/>
      </c>
      <c r="J453" s="13" t="str">
        <f aca="false">IFERROR(VALUE(TRIM(LEFT(RIGHT(I453,18),11))),"")</f>
        <v/>
      </c>
      <c r="N453" s="13" t="str">
        <f aca="false">IFERROR(VALUE(TRIM(LEFT(RIGHT(M453,18),11))),"")</f>
        <v/>
      </c>
    </row>
    <row r="454" customFormat="false" ht="14.25" hidden="false" customHeight="true" outlineLevel="0" collapsed="false">
      <c r="A454" s="12" t="str">
        <f aca="false">IF(E454="","",E454)</f>
        <v/>
      </c>
      <c r="B454" s="12" t="str">
        <f aca="false">IF(J454="","",J454)</f>
        <v/>
      </c>
      <c r="C454" s="12" t="str">
        <f aca="false">IF(N454="","",N454)</f>
        <v/>
      </c>
      <c r="E454" s="13" t="str">
        <f aca="false">IFERROR(VALUE(TRIM(LEFT(RIGHT(D454,18),11))),"")</f>
        <v/>
      </c>
      <c r="J454" s="13" t="str">
        <f aca="false">IFERROR(VALUE(TRIM(LEFT(RIGHT(I454,18),11))),"")</f>
        <v/>
      </c>
      <c r="N454" s="13" t="str">
        <f aca="false">IFERROR(VALUE(TRIM(LEFT(RIGHT(M454,18),11))),"")</f>
        <v/>
      </c>
    </row>
    <row r="455" customFormat="false" ht="14.25" hidden="false" customHeight="true" outlineLevel="0" collapsed="false">
      <c r="A455" s="12" t="str">
        <f aca="false">IF(E455="","",E455)</f>
        <v/>
      </c>
      <c r="B455" s="12" t="str">
        <f aca="false">IF(J455="","",J455)</f>
        <v/>
      </c>
      <c r="C455" s="12" t="str">
        <f aca="false">IF(N455="","",N455)</f>
        <v/>
      </c>
      <c r="E455" s="13" t="str">
        <f aca="false">IFERROR(VALUE(TRIM(LEFT(RIGHT(D455,18),11))),"")</f>
        <v/>
      </c>
      <c r="J455" s="13" t="str">
        <f aca="false">IFERROR(VALUE(TRIM(LEFT(RIGHT(I455,18),11))),"")</f>
        <v/>
      </c>
      <c r="N455" s="13" t="str">
        <f aca="false">IFERROR(VALUE(TRIM(LEFT(RIGHT(M455,18),11))),"")</f>
        <v/>
      </c>
    </row>
    <row r="456" customFormat="false" ht="14.25" hidden="false" customHeight="true" outlineLevel="0" collapsed="false">
      <c r="A456" s="12" t="str">
        <f aca="false">IF(E456="","",E456)</f>
        <v/>
      </c>
      <c r="B456" s="12" t="str">
        <f aca="false">IF(J456="","",J456)</f>
        <v/>
      </c>
      <c r="C456" s="12" t="str">
        <f aca="false">IF(N456="","",N456)</f>
        <v/>
      </c>
      <c r="E456" s="13" t="str">
        <f aca="false">IFERROR(VALUE(TRIM(LEFT(RIGHT(D456,18),11))),"")</f>
        <v/>
      </c>
      <c r="J456" s="13" t="str">
        <f aca="false">IFERROR(VALUE(TRIM(LEFT(RIGHT(I456,18),11))),"")</f>
        <v/>
      </c>
      <c r="N456" s="13" t="str">
        <f aca="false">IFERROR(VALUE(TRIM(LEFT(RIGHT(M456,18),11))),"")</f>
        <v/>
      </c>
    </row>
    <row r="457" customFormat="false" ht="14.25" hidden="false" customHeight="true" outlineLevel="0" collapsed="false">
      <c r="A457" s="12" t="str">
        <f aca="false">IF(E457="","",E457)</f>
        <v/>
      </c>
      <c r="B457" s="12" t="str">
        <f aca="false">IF(J457="","",J457)</f>
        <v/>
      </c>
      <c r="C457" s="12" t="str">
        <f aca="false">IF(N457="","",N457)</f>
        <v/>
      </c>
      <c r="E457" s="13" t="str">
        <f aca="false">IFERROR(VALUE(TRIM(LEFT(RIGHT(D457,18),11))),"")</f>
        <v/>
      </c>
      <c r="J457" s="13" t="str">
        <f aca="false">IFERROR(VALUE(TRIM(LEFT(RIGHT(I457,18),11))),"")</f>
        <v/>
      </c>
      <c r="N457" s="13" t="str">
        <f aca="false">IFERROR(VALUE(TRIM(LEFT(RIGHT(M457,18),11))),"")</f>
        <v/>
      </c>
    </row>
    <row r="458" customFormat="false" ht="14.25" hidden="false" customHeight="true" outlineLevel="0" collapsed="false">
      <c r="A458" s="12" t="str">
        <f aca="false">IF(E458="","",E458)</f>
        <v/>
      </c>
      <c r="B458" s="12" t="str">
        <f aca="false">IF(J458="","",J458)</f>
        <v/>
      </c>
      <c r="C458" s="12" t="str">
        <f aca="false">IF(N458="","",N458)</f>
        <v/>
      </c>
      <c r="E458" s="13" t="str">
        <f aca="false">IFERROR(VALUE(TRIM(LEFT(RIGHT(D458,18),11))),"")</f>
        <v/>
      </c>
      <c r="J458" s="13" t="str">
        <f aca="false">IFERROR(VALUE(TRIM(LEFT(RIGHT(I458,18),11))),"")</f>
        <v/>
      </c>
      <c r="N458" s="13" t="str">
        <f aca="false">IFERROR(VALUE(TRIM(LEFT(RIGHT(M458,18),11))),"")</f>
        <v/>
      </c>
    </row>
    <row r="459" customFormat="false" ht="14.25" hidden="false" customHeight="true" outlineLevel="0" collapsed="false">
      <c r="A459" s="12" t="str">
        <f aca="false">IF(E459="","",E459)</f>
        <v/>
      </c>
      <c r="B459" s="12" t="str">
        <f aca="false">IF(J459="","",J459)</f>
        <v/>
      </c>
      <c r="C459" s="12" t="str">
        <f aca="false">IF(N459="","",N459)</f>
        <v/>
      </c>
      <c r="E459" s="13" t="str">
        <f aca="false">IFERROR(VALUE(TRIM(LEFT(RIGHT(D459,18),11))),"")</f>
        <v/>
      </c>
      <c r="J459" s="13" t="str">
        <f aca="false">IFERROR(VALUE(TRIM(LEFT(RIGHT(I459,18),11))),"")</f>
        <v/>
      </c>
      <c r="N459" s="13" t="str">
        <f aca="false">IFERROR(VALUE(TRIM(LEFT(RIGHT(M459,18),11))),"")</f>
        <v/>
      </c>
    </row>
    <row r="460" customFormat="false" ht="14.25" hidden="false" customHeight="true" outlineLevel="0" collapsed="false">
      <c r="A460" s="12" t="str">
        <f aca="false">IF(E460="","",E460)</f>
        <v/>
      </c>
      <c r="B460" s="12" t="str">
        <f aca="false">IF(J460="","",J460)</f>
        <v/>
      </c>
      <c r="C460" s="12" t="str">
        <f aca="false">IF(N460="","",N460)</f>
        <v/>
      </c>
      <c r="E460" s="13" t="str">
        <f aca="false">IFERROR(VALUE(TRIM(LEFT(RIGHT(D460,18),11))),"")</f>
        <v/>
      </c>
      <c r="J460" s="13" t="str">
        <f aca="false">IFERROR(VALUE(TRIM(LEFT(RIGHT(I460,18),11))),"")</f>
        <v/>
      </c>
      <c r="N460" s="13" t="str">
        <f aca="false">IFERROR(VALUE(TRIM(LEFT(RIGHT(M460,18),11))),"")</f>
        <v/>
      </c>
    </row>
    <row r="461" customFormat="false" ht="14.25" hidden="false" customHeight="true" outlineLevel="0" collapsed="false">
      <c r="A461" s="12" t="str">
        <f aca="false">IF(E461="","",E461)</f>
        <v/>
      </c>
      <c r="B461" s="12" t="str">
        <f aca="false">IF(J461="","",J461)</f>
        <v/>
      </c>
      <c r="C461" s="12" t="str">
        <f aca="false">IF(N461="","",N461)</f>
        <v/>
      </c>
      <c r="E461" s="13" t="str">
        <f aca="false">IFERROR(VALUE(TRIM(LEFT(RIGHT(D461,18),11))),"")</f>
        <v/>
      </c>
      <c r="J461" s="13" t="str">
        <f aca="false">IFERROR(VALUE(TRIM(LEFT(RIGHT(I461,18),11))),"")</f>
        <v/>
      </c>
      <c r="N461" s="13" t="str">
        <f aca="false">IFERROR(VALUE(TRIM(LEFT(RIGHT(M461,18),11))),"")</f>
        <v/>
      </c>
    </row>
    <row r="462" customFormat="false" ht="14.25" hidden="false" customHeight="true" outlineLevel="0" collapsed="false">
      <c r="A462" s="12" t="str">
        <f aca="false">IF(E462="","",E462)</f>
        <v/>
      </c>
      <c r="B462" s="12" t="str">
        <f aca="false">IF(J462="","",J462)</f>
        <v/>
      </c>
      <c r="C462" s="12" t="str">
        <f aca="false">IF(N462="","",N462)</f>
        <v/>
      </c>
      <c r="E462" s="13" t="str">
        <f aca="false">IFERROR(VALUE(TRIM(LEFT(RIGHT(D462,18),11))),"")</f>
        <v/>
      </c>
      <c r="J462" s="13" t="str">
        <f aca="false">IFERROR(VALUE(TRIM(LEFT(RIGHT(I462,18),11))),"")</f>
        <v/>
      </c>
      <c r="N462" s="13" t="str">
        <f aca="false">IFERROR(VALUE(TRIM(LEFT(RIGHT(M462,18),11))),"")</f>
        <v/>
      </c>
    </row>
    <row r="463" customFormat="false" ht="14.25" hidden="false" customHeight="true" outlineLevel="0" collapsed="false">
      <c r="A463" s="12" t="str">
        <f aca="false">IF(E463="","",E463)</f>
        <v/>
      </c>
      <c r="B463" s="12" t="str">
        <f aca="false">IF(J463="","",J463)</f>
        <v/>
      </c>
      <c r="C463" s="12" t="str">
        <f aca="false">IF(N463="","",N463)</f>
        <v/>
      </c>
      <c r="E463" s="13" t="str">
        <f aca="false">IFERROR(VALUE(TRIM(LEFT(RIGHT(D463,18),11))),"")</f>
        <v/>
      </c>
      <c r="J463" s="13" t="str">
        <f aca="false">IFERROR(VALUE(TRIM(LEFT(RIGHT(I463,18),11))),"")</f>
        <v/>
      </c>
      <c r="N463" s="13" t="str">
        <f aca="false">IFERROR(VALUE(TRIM(LEFT(RIGHT(M463,18),11))),"")</f>
        <v/>
      </c>
    </row>
    <row r="464" customFormat="false" ht="14.25" hidden="false" customHeight="true" outlineLevel="0" collapsed="false">
      <c r="A464" s="12" t="str">
        <f aca="false">IF(E464="","",E464)</f>
        <v/>
      </c>
      <c r="B464" s="12" t="str">
        <f aca="false">IF(J464="","",J464)</f>
        <v/>
      </c>
      <c r="C464" s="12" t="str">
        <f aca="false">IF(N464="","",N464)</f>
        <v/>
      </c>
      <c r="E464" s="13" t="str">
        <f aca="false">IFERROR(VALUE(TRIM(LEFT(RIGHT(D464,18),11))),"")</f>
        <v/>
      </c>
      <c r="J464" s="13" t="str">
        <f aca="false">IFERROR(VALUE(TRIM(LEFT(RIGHT(I464,18),11))),"")</f>
        <v/>
      </c>
      <c r="N464" s="13" t="str">
        <f aca="false">IFERROR(VALUE(TRIM(LEFT(RIGHT(M464,18),11))),"")</f>
        <v/>
      </c>
    </row>
    <row r="465" customFormat="false" ht="14.25" hidden="false" customHeight="true" outlineLevel="0" collapsed="false">
      <c r="A465" s="12" t="str">
        <f aca="false">IF(E465="","",E465)</f>
        <v/>
      </c>
      <c r="B465" s="12" t="str">
        <f aca="false">IF(J465="","",J465)</f>
        <v/>
      </c>
      <c r="C465" s="12" t="str">
        <f aca="false">IF(N465="","",N465)</f>
        <v/>
      </c>
      <c r="E465" s="13" t="str">
        <f aca="false">IFERROR(VALUE(TRIM(LEFT(RIGHT(D465,18),11))),"")</f>
        <v/>
      </c>
      <c r="J465" s="13" t="str">
        <f aca="false">IFERROR(VALUE(TRIM(LEFT(RIGHT(I465,18),11))),"")</f>
        <v/>
      </c>
      <c r="N465" s="13" t="str">
        <f aca="false">IFERROR(VALUE(TRIM(LEFT(RIGHT(M465,18),11))),"")</f>
        <v/>
      </c>
    </row>
    <row r="466" customFormat="false" ht="14.25" hidden="false" customHeight="true" outlineLevel="0" collapsed="false">
      <c r="A466" s="12" t="str">
        <f aca="false">IF(E466="","",E466)</f>
        <v/>
      </c>
      <c r="B466" s="12" t="str">
        <f aca="false">IF(J466="","",J466)</f>
        <v/>
      </c>
      <c r="C466" s="12" t="str">
        <f aca="false">IF(N466="","",N466)</f>
        <v/>
      </c>
      <c r="E466" s="13" t="str">
        <f aca="false">IFERROR(VALUE(TRIM(LEFT(RIGHT(D466,18),11))),"")</f>
        <v/>
      </c>
      <c r="J466" s="13" t="str">
        <f aca="false">IFERROR(VALUE(TRIM(LEFT(RIGHT(I466,18),11))),"")</f>
        <v/>
      </c>
      <c r="N466" s="13" t="str">
        <f aca="false">IFERROR(VALUE(TRIM(LEFT(RIGHT(M466,18),11))),"")</f>
        <v/>
      </c>
    </row>
    <row r="467" customFormat="false" ht="14.25" hidden="false" customHeight="true" outlineLevel="0" collapsed="false">
      <c r="A467" s="12" t="str">
        <f aca="false">IF(E467="","",E467)</f>
        <v/>
      </c>
      <c r="B467" s="12" t="str">
        <f aca="false">IF(J467="","",J467)</f>
        <v/>
      </c>
      <c r="C467" s="12" t="str">
        <f aca="false">IF(N467="","",N467)</f>
        <v/>
      </c>
      <c r="E467" s="13" t="str">
        <f aca="false">IFERROR(VALUE(TRIM(LEFT(RIGHT(D467,18),11))),"")</f>
        <v/>
      </c>
      <c r="J467" s="13" t="str">
        <f aca="false">IFERROR(VALUE(TRIM(LEFT(RIGHT(I467,18),11))),"")</f>
        <v/>
      </c>
      <c r="N467" s="13" t="str">
        <f aca="false">IFERROR(VALUE(TRIM(LEFT(RIGHT(M467,18),11))),"")</f>
        <v/>
      </c>
    </row>
    <row r="468" customFormat="false" ht="14.25" hidden="false" customHeight="true" outlineLevel="0" collapsed="false">
      <c r="A468" s="12" t="str">
        <f aca="false">IF(E468="","",E468)</f>
        <v/>
      </c>
      <c r="B468" s="12" t="str">
        <f aca="false">IF(J468="","",J468)</f>
        <v/>
      </c>
      <c r="C468" s="12" t="str">
        <f aca="false">IF(N468="","",N468)</f>
        <v/>
      </c>
      <c r="E468" s="13" t="str">
        <f aca="false">IFERROR(VALUE(TRIM(LEFT(RIGHT(D468,18),11))),"")</f>
        <v/>
      </c>
      <c r="J468" s="13" t="str">
        <f aca="false">IFERROR(VALUE(TRIM(LEFT(RIGHT(I468,18),11))),"")</f>
        <v/>
      </c>
      <c r="N468" s="13" t="str">
        <f aca="false">IFERROR(VALUE(TRIM(LEFT(RIGHT(M468,18),11))),"")</f>
        <v/>
      </c>
    </row>
    <row r="469" customFormat="false" ht="14.25" hidden="false" customHeight="true" outlineLevel="0" collapsed="false">
      <c r="A469" s="12" t="str">
        <f aca="false">IF(E469="","",E469)</f>
        <v/>
      </c>
      <c r="B469" s="12" t="str">
        <f aca="false">IF(J469="","",J469)</f>
        <v/>
      </c>
      <c r="C469" s="12" t="str">
        <f aca="false">IF(N469="","",N469)</f>
        <v/>
      </c>
      <c r="E469" s="13" t="str">
        <f aca="false">IFERROR(VALUE(TRIM(LEFT(RIGHT(D469,18),11))),"")</f>
        <v/>
      </c>
      <c r="J469" s="13" t="str">
        <f aca="false">IFERROR(VALUE(TRIM(LEFT(RIGHT(I469,18),11))),"")</f>
        <v/>
      </c>
      <c r="N469" s="13" t="str">
        <f aca="false">IFERROR(VALUE(TRIM(LEFT(RIGHT(M469,18),11))),"")</f>
        <v/>
      </c>
    </row>
    <row r="470" customFormat="false" ht="14.25" hidden="false" customHeight="true" outlineLevel="0" collapsed="false">
      <c r="A470" s="12" t="str">
        <f aca="false">IF(E470="","",E470)</f>
        <v/>
      </c>
      <c r="B470" s="12" t="str">
        <f aca="false">IF(J470="","",J470)</f>
        <v/>
      </c>
      <c r="C470" s="12" t="str">
        <f aca="false">IF(N470="","",N470)</f>
        <v/>
      </c>
      <c r="E470" s="13" t="str">
        <f aca="false">IFERROR(VALUE(TRIM(LEFT(RIGHT(D470,18),11))),"")</f>
        <v/>
      </c>
      <c r="J470" s="13" t="str">
        <f aca="false">IFERROR(VALUE(TRIM(LEFT(RIGHT(I470,18),11))),"")</f>
        <v/>
      </c>
      <c r="N470" s="13" t="str">
        <f aca="false">IFERROR(VALUE(TRIM(LEFT(RIGHT(M470,18),11))),"")</f>
        <v/>
      </c>
    </row>
    <row r="471" customFormat="false" ht="14.25" hidden="false" customHeight="true" outlineLevel="0" collapsed="false">
      <c r="A471" s="12" t="str">
        <f aca="false">IF(E471="","",E471)</f>
        <v/>
      </c>
      <c r="B471" s="12" t="str">
        <f aca="false">IF(J471="","",J471)</f>
        <v/>
      </c>
      <c r="C471" s="12" t="str">
        <f aca="false">IF(N471="","",N471)</f>
        <v/>
      </c>
      <c r="E471" s="13" t="str">
        <f aca="false">IFERROR(VALUE(TRIM(LEFT(RIGHT(D471,18),11))),"")</f>
        <v/>
      </c>
      <c r="J471" s="13" t="str">
        <f aca="false">IFERROR(VALUE(TRIM(LEFT(RIGHT(I471,18),11))),"")</f>
        <v/>
      </c>
      <c r="N471" s="13" t="str">
        <f aca="false">IFERROR(VALUE(TRIM(LEFT(RIGHT(M471,18),11))),"")</f>
        <v/>
      </c>
    </row>
    <row r="472" customFormat="false" ht="14.25" hidden="false" customHeight="true" outlineLevel="0" collapsed="false">
      <c r="A472" s="12" t="str">
        <f aca="false">IF(E472="","",E472)</f>
        <v/>
      </c>
      <c r="B472" s="12" t="str">
        <f aca="false">IF(J472="","",J472)</f>
        <v/>
      </c>
      <c r="C472" s="12" t="str">
        <f aca="false">IF(N472="","",N472)</f>
        <v/>
      </c>
      <c r="E472" s="13" t="str">
        <f aca="false">IFERROR(VALUE(TRIM(LEFT(RIGHT(D472,18),11))),"")</f>
        <v/>
      </c>
      <c r="J472" s="13" t="str">
        <f aca="false">IFERROR(VALUE(TRIM(LEFT(RIGHT(I472,18),11))),"")</f>
        <v/>
      </c>
      <c r="N472" s="13" t="str">
        <f aca="false">IFERROR(VALUE(TRIM(LEFT(RIGHT(M472,18),11))),"")</f>
        <v/>
      </c>
    </row>
    <row r="473" customFormat="false" ht="14.25" hidden="false" customHeight="true" outlineLevel="0" collapsed="false">
      <c r="A473" s="12" t="str">
        <f aca="false">IF(E473="","",E473)</f>
        <v/>
      </c>
      <c r="B473" s="12" t="str">
        <f aca="false">IF(J473="","",J473)</f>
        <v/>
      </c>
      <c r="C473" s="12" t="str">
        <f aca="false">IF(N473="","",N473)</f>
        <v/>
      </c>
      <c r="E473" s="13" t="str">
        <f aca="false">IFERROR(VALUE(TRIM(LEFT(RIGHT(D473,18),11))),"")</f>
        <v/>
      </c>
      <c r="J473" s="13" t="str">
        <f aca="false">IFERROR(VALUE(TRIM(LEFT(RIGHT(I473,18),11))),"")</f>
        <v/>
      </c>
      <c r="N473" s="13" t="str">
        <f aca="false">IFERROR(VALUE(TRIM(LEFT(RIGHT(M473,18),11))),"")</f>
        <v/>
      </c>
    </row>
    <row r="474" customFormat="false" ht="14.25" hidden="false" customHeight="true" outlineLevel="0" collapsed="false">
      <c r="A474" s="12" t="str">
        <f aca="false">IF(E474="","",E474)</f>
        <v/>
      </c>
      <c r="B474" s="12" t="str">
        <f aca="false">IF(J474="","",J474)</f>
        <v/>
      </c>
      <c r="C474" s="12" t="str">
        <f aca="false">IF(N474="","",N474)</f>
        <v/>
      </c>
      <c r="E474" s="13" t="str">
        <f aca="false">IFERROR(VALUE(TRIM(LEFT(RIGHT(D474,18),11))),"")</f>
        <v/>
      </c>
      <c r="J474" s="13" t="str">
        <f aca="false">IFERROR(VALUE(TRIM(LEFT(RIGHT(I474,18),11))),"")</f>
        <v/>
      </c>
      <c r="N474" s="13" t="str">
        <f aca="false">IFERROR(VALUE(TRIM(LEFT(RIGHT(M474,18),11))),"")</f>
        <v/>
      </c>
    </row>
    <row r="475" customFormat="false" ht="14.25" hidden="false" customHeight="true" outlineLevel="0" collapsed="false">
      <c r="A475" s="12" t="str">
        <f aca="false">IF(E475="","",E475)</f>
        <v/>
      </c>
      <c r="B475" s="12" t="str">
        <f aca="false">IF(J475="","",J475)</f>
        <v/>
      </c>
      <c r="C475" s="12" t="str">
        <f aca="false">IF(N475="","",N475)</f>
        <v/>
      </c>
      <c r="E475" s="13" t="str">
        <f aca="false">IFERROR(VALUE(TRIM(LEFT(RIGHT(D475,18),11))),"")</f>
        <v/>
      </c>
      <c r="J475" s="13" t="str">
        <f aca="false">IFERROR(VALUE(TRIM(LEFT(RIGHT(I475,18),11))),"")</f>
        <v/>
      </c>
      <c r="N475" s="13" t="str">
        <f aca="false">IFERROR(VALUE(TRIM(LEFT(RIGHT(M475,18),11))),"")</f>
        <v/>
      </c>
    </row>
    <row r="476" customFormat="false" ht="14.25" hidden="false" customHeight="true" outlineLevel="0" collapsed="false">
      <c r="A476" s="12" t="str">
        <f aca="false">IF(E476="","",E476)</f>
        <v/>
      </c>
      <c r="B476" s="12" t="str">
        <f aca="false">IF(J476="","",J476)</f>
        <v/>
      </c>
      <c r="C476" s="12" t="str">
        <f aca="false">IF(N476="","",N476)</f>
        <v/>
      </c>
      <c r="E476" s="13" t="str">
        <f aca="false">IFERROR(VALUE(TRIM(LEFT(RIGHT(D476,18),11))),"")</f>
        <v/>
      </c>
      <c r="J476" s="13" t="str">
        <f aca="false">IFERROR(VALUE(TRIM(LEFT(RIGHT(I476,18),11))),"")</f>
        <v/>
      </c>
      <c r="N476" s="13" t="str">
        <f aca="false">IFERROR(VALUE(TRIM(LEFT(RIGHT(M476,18),11))),"")</f>
        <v/>
      </c>
    </row>
    <row r="477" customFormat="false" ht="14.25" hidden="false" customHeight="true" outlineLevel="0" collapsed="false">
      <c r="A477" s="12" t="str">
        <f aca="false">IF(E477="","",E477)</f>
        <v/>
      </c>
      <c r="B477" s="12" t="str">
        <f aca="false">IF(J477="","",J477)</f>
        <v/>
      </c>
      <c r="C477" s="12" t="str">
        <f aca="false">IF(N477="","",N477)</f>
        <v/>
      </c>
      <c r="E477" s="13" t="str">
        <f aca="false">IFERROR(VALUE(TRIM(LEFT(RIGHT(D477,18),11))),"")</f>
        <v/>
      </c>
      <c r="J477" s="13" t="str">
        <f aca="false">IFERROR(VALUE(TRIM(LEFT(RIGHT(I477,18),11))),"")</f>
        <v/>
      </c>
      <c r="N477" s="13" t="str">
        <f aca="false">IFERROR(VALUE(TRIM(LEFT(RIGHT(M477,18),11))),"")</f>
        <v/>
      </c>
    </row>
    <row r="478" customFormat="false" ht="14.25" hidden="false" customHeight="true" outlineLevel="0" collapsed="false">
      <c r="A478" s="12" t="str">
        <f aca="false">IF(E478="","",E478)</f>
        <v/>
      </c>
      <c r="B478" s="12" t="str">
        <f aca="false">IF(J478="","",J478)</f>
        <v/>
      </c>
      <c r="C478" s="12" t="str">
        <f aca="false">IF(N478="","",N478)</f>
        <v/>
      </c>
      <c r="E478" s="13" t="str">
        <f aca="false">IFERROR(VALUE(TRIM(LEFT(RIGHT(D478,18),11))),"")</f>
        <v/>
      </c>
      <c r="J478" s="13" t="str">
        <f aca="false">IFERROR(VALUE(TRIM(LEFT(RIGHT(I478,18),11))),"")</f>
        <v/>
      </c>
      <c r="N478" s="13" t="str">
        <f aca="false">IFERROR(VALUE(TRIM(LEFT(RIGHT(M478,18),11))),"")</f>
        <v/>
      </c>
    </row>
    <row r="479" customFormat="false" ht="14.25" hidden="false" customHeight="true" outlineLevel="0" collapsed="false">
      <c r="A479" s="12" t="str">
        <f aca="false">IF(E479="","",E479)</f>
        <v/>
      </c>
      <c r="B479" s="12" t="str">
        <f aca="false">IF(J479="","",J479)</f>
        <v/>
      </c>
      <c r="C479" s="12" t="str">
        <f aca="false">IF(N479="","",N479)</f>
        <v/>
      </c>
      <c r="E479" s="13" t="str">
        <f aca="false">IFERROR(VALUE(TRIM(LEFT(RIGHT(D479,18),11))),"")</f>
        <v/>
      </c>
      <c r="J479" s="13" t="str">
        <f aca="false">IFERROR(VALUE(TRIM(LEFT(RIGHT(I479,18),11))),"")</f>
        <v/>
      </c>
      <c r="N479" s="13" t="str">
        <f aca="false">IFERROR(VALUE(TRIM(LEFT(RIGHT(M479,18),11))),"")</f>
        <v/>
      </c>
    </row>
    <row r="480" customFormat="false" ht="14.25" hidden="false" customHeight="true" outlineLevel="0" collapsed="false">
      <c r="A480" s="12" t="str">
        <f aca="false">IF(E480="","",E480)</f>
        <v/>
      </c>
      <c r="B480" s="12" t="str">
        <f aca="false">IF(J480="","",J480)</f>
        <v/>
      </c>
      <c r="C480" s="12" t="str">
        <f aca="false">IF(N480="","",N480)</f>
        <v/>
      </c>
      <c r="E480" s="13" t="str">
        <f aca="false">IFERROR(VALUE(TRIM(LEFT(RIGHT(D480,18),11))),"")</f>
        <v/>
      </c>
      <c r="J480" s="13" t="str">
        <f aca="false">IFERROR(VALUE(TRIM(LEFT(RIGHT(I480,18),11))),"")</f>
        <v/>
      </c>
      <c r="N480" s="13" t="str">
        <f aca="false">IFERROR(VALUE(TRIM(LEFT(RIGHT(M480,18),11))),"")</f>
        <v/>
      </c>
    </row>
    <row r="481" customFormat="false" ht="14.25" hidden="false" customHeight="true" outlineLevel="0" collapsed="false">
      <c r="A481" s="12" t="str">
        <f aca="false">IF(E481="","",E481)</f>
        <v/>
      </c>
      <c r="B481" s="12" t="str">
        <f aca="false">IF(J481="","",J481)</f>
        <v/>
      </c>
      <c r="C481" s="12" t="str">
        <f aca="false">IF(N481="","",N481)</f>
        <v/>
      </c>
      <c r="E481" s="13" t="str">
        <f aca="false">IFERROR(VALUE(TRIM(LEFT(RIGHT(D481,18),11))),"")</f>
        <v/>
      </c>
      <c r="J481" s="13" t="str">
        <f aca="false">IFERROR(VALUE(TRIM(LEFT(RIGHT(I481,18),11))),"")</f>
        <v/>
      </c>
      <c r="N481" s="13" t="str">
        <f aca="false">IFERROR(VALUE(TRIM(LEFT(RIGHT(M481,18),11))),"")</f>
        <v/>
      </c>
    </row>
    <row r="482" customFormat="false" ht="14.25" hidden="false" customHeight="true" outlineLevel="0" collapsed="false">
      <c r="A482" s="12" t="str">
        <f aca="false">IF(E482="","",E482)</f>
        <v/>
      </c>
      <c r="B482" s="12" t="str">
        <f aca="false">IF(J482="","",J482)</f>
        <v/>
      </c>
      <c r="C482" s="12" t="str">
        <f aca="false">IF(N482="","",N482)</f>
        <v/>
      </c>
      <c r="E482" s="13" t="str">
        <f aca="false">IFERROR(VALUE(TRIM(LEFT(RIGHT(D482,18),11))),"")</f>
        <v/>
      </c>
      <c r="J482" s="13" t="str">
        <f aca="false">IFERROR(VALUE(TRIM(LEFT(RIGHT(I482,18),11))),"")</f>
        <v/>
      </c>
      <c r="N482" s="13" t="str">
        <f aca="false">IFERROR(VALUE(TRIM(LEFT(RIGHT(M482,18),11))),"")</f>
        <v/>
      </c>
    </row>
    <row r="483" customFormat="false" ht="14.25" hidden="false" customHeight="true" outlineLevel="0" collapsed="false">
      <c r="A483" s="12" t="str">
        <f aca="false">IF(E483="","",E483)</f>
        <v/>
      </c>
      <c r="B483" s="12" t="str">
        <f aca="false">IF(J483="","",J483)</f>
        <v/>
      </c>
      <c r="C483" s="12" t="str">
        <f aca="false">IF(N483="","",N483)</f>
        <v/>
      </c>
      <c r="E483" s="13" t="str">
        <f aca="false">IFERROR(VALUE(TRIM(LEFT(RIGHT(D483,18),11))),"")</f>
        <v/>
      </c>
      <c r="J483" s="13" t="str">
        <f aca="false">IFERROR(VALUE(TRIM(LEFT(RIGHT(I483,18),11))),"")</f>
        <v/>
      </c>
      <c r="N483" s="13" t="str">
        <f aca="false">IFERROR(VALUE(TRIM(LEFT(RIGHT(M483,18),11))),"")</f>
        <v/>
      </c>
    </row>
    <row r="484" customFormat="false" ht="14.25" hidden="false" customHeight="true" outlineLevel="0" collapsed="false">
      <c r="A484" s="12" t="str">
        <f aca="false">IF(E484="","",E484)</f>
        <v/>
      </c>
      <c r="B484" s="12" t="str">
        <f aca="false">IF(J484="","",J484)</f>
        <v/>
      </c>
      <c r="C484" s="12" t="str">
        <f aca="false">IF(N484="","",N484)</f>
        <v/>
      </c>
      <c r="E484" s="13" t="str">
        <f aca="false">IFERROR(VALUE(TRIM(LEFT(RIGHT(D484,18),11))),"")</f>
        <v/>
      </c>
      <c r="J484" s="13" t="str">
        <f aca="false">IFERROR(VALUE(TRIM(LEFT(RIGHT(I484,18),11))),"")</f>
        <v/>
      </c>
      <c r="N484" s="13" t="str">
        <f aca="false">IFERROR(VALUE(TRIM(LEFT(RIGHT(M484,18),11))),"")</f>
        <v/>
      </c>
    </row>
    <row r="485" customFormat="false" ht="14.25" hidden="false" customHeight="true" outlineLevel="0" collapsed="false">
      <c r="A485" s="12" t="str">
        <f aca="false">IF(E485="","",E485)</f>
        <v/>
      </c>
      <c r="B485" s="12" t="str">
        <f aca="false">IF(J485="","",J485)</f>
        <v/>
      </c>
      <c r="C485" s="12" t="str">
        <f aca="false">IF(N485="","",N485)</f>
        <v/>
      </c>
      <c r="E485" s="13" t="str">
        <f aca="false">IFERROR(VALUE(TRIM(LEFT(RIGHT(D485,18),11))),"")</f>
        <v/>
      </c>
      <c r="J485" s="13" t="str">
        <f aca="false">IFERROR(VALUE(TRIM(LEFT(RIGHT(I485,18),11))),"")</f>
        <v/>
      </c>
      <c r="N485" s="13" t="str">
        <f aca="false">IFERROR(VALUE(TRIM(LEFT(RIGHT(M485,18),11))),"")</f>
        <v/>
      </c>
    </row>
    <row r="486" customFormat="false" ht="14.25" hidden="false" customHeight="true" outlineLevel="0" collapsed="false">
      <c r="A486" s="12" t="str">
        <f aca="false">IF(E486="","",E486)</f>
        <v/>
      </c>
      <c r="B486" s="12" t="str">
        <f aca="false">IF(J486="","",J486)</f>
        <v/>
      </c>
      <c r="C486" s="12" t="str">
        <f aca="false">IF(N486="","",N486)</f>
        <v/>
      </c>
      <c r="E486" s="13" t="str">
        <f aca="false">IFERROR(VALUE(TRIM(LEFT(RIGHT(D486,18),11))),"")</f>
        <v/>
      </c>
      <c r="J486" s="13" t="str">
        <f aca="false">IFERROR(VALUE(TRIM(LEFT(RIGHT(I486,18),11))),"")</f>
        <v/>
      </c>
      <c r="N486" s="13" t="str">
        <f aca="false">IFERROR(VALUE(TRIM(LEFT(RIGHT(M486,18),11))),"")</f>
        <v/>
      </c>
    </row>
    <row r="487" customFormat="false" ht="14.25" hidden="false" customHeight="true" outlineLevel="0" collapsed="false">
      <c r="A487" s="12" t="str">
        <f aca="false">IF(E487="","",E487)</f>
        <v/>
      </c>
      <c r="B487" s="12" t="str">
        <f aca="false">IF(J487="","",J487)</f>
        <v/>
      </c>
      <c r="C487" s="12" t="str">
        <f aca="false">IF(N487="","",N487)</f>
        <v/>
      </c>
      <c r="E487" s="13" t="str">
        <f aca="false">IFERROR(VALUE(TRIM(LEFT(RIGHT(D487,18),11))),"")</f>
        <v/>
      </c>
      <c r="J487" s="13" t="str">
        <f aca="false">IFERROR(VALUE(TRIM(LEFT(RIGHT(I487,18),11))),"")</f>
        <v/>
      </c>
      <c r="N487" s="13" t="str">
        <f aca="false">IFERROR(VALUE(TRIM(LEFT(RIGHT(M487,18),11))),"")</f>
        <v/>
      </c>
    </row>
    <row r="488" customFormat="false" ht="14.25" hidden="false" customHeight="true" outlineLevel="0" collapsed="false">
      <c r="A488" s="12" t="str">
        <f aca="false">IF(E488="","",E488)</f>
        <v/>
      </c>
      <c r="B488" s="12" t="str">
        <f aca="false">IF(J488="","",J488)</f>
        <v/>
      </c>
      <c r="C488" s="12" t="str">
        <f aca="false">IF(N488="","",N488)</f>
        <v/>
      </c>
      <c r="E488" s="13" t="str">
        <f aca="false">IFERROR(VALUE(TRIM(LEFT(RIGHT(D488,18),11))),"")</f>
        <v/>
      </c>
      <c r="J488" s="13" t="str">
        <f aca="false">IFERROR(VALUE(TRIM(LEFT(RIGHT(I488,18),11))),"")</f>
        <v/>
      </c>
      <c r="N488" s="13" t="str">
        <f aca="false">IFERROR(VALUE(TRIM(LEFT(RIGHT(M488,18),11))),"")</f>
        <v/>
      </c>
    </row>
    <row r="489" customFormat="false" ht="14.25" hidden="false" customHeight="true" outlineLevel="0" collapsed="false">
      <c r="A489" s="12" t="str">
        <f aca="false">IF(E489="","",E489)</f>
        <v/>
      </c>
      <c r="B489" s="12" t="str">
        <f aca="false">IF(J489="","",J489)</f>
        <v/>
      </c>
      <c r="C489" s="12" t="str">
        <f aca="false">IF(N489="","",N489)</f>
        <v/>
      </c>
      <c r="E489" s="13" t="str">
        <f aca="false">IFERROR(VALUE(TRIM(LEFT(RIGHT(D489,18),11))),"")</f>
        <v/>
      </c>
      <c r="J489" s="13" t="str">
        <f aca="false">IFERROR(VALUE(TRIM(LEFT(RIGHT(I489,18),11))),"")</f>
        <v/>
      </c>
      <c r="N489" s="13" t="str">
        <f aca="false">IFERROR(VALUE(TRIM(LEFT(RIGHT(M489,18),11))),"")</f>
        <v/>
      </c>
    </row>
    <row r="490" customFormat="false" ht="14.25" hidden="false" customHeight="true" outlineLevel="0" collapsed="false">
      <c r="A490" s="12" t="str">
        <f aca="false">IF(E490="","",E490)</f>
        <v/>
      </c>
      <c r="B490" s="12" t="str">
        <f aca="false">IF(J490="","",J490)</f>
        <v/>
      </c>
      <c r="C490" s="12" t="str">
        <f aca="false">IF(N490="","",N490)</f>
        <v/>
      </c>
      <c r="E490" s="13" t="str">
        <f aca="false">IFERROR(VALUE(TRIM(LEFT(RIGHT(D490,18),11))),"")</f>
        <v/>
      </c>
      <c r="J490" s="13" t="str">
        <f aca="false">IFERROR(VALUE(TRIM(LEFT(RIGHT(I490,18),11))),"")</f>
        <v/>
      </c>
      <c r="N490" s="13" t="str">
        <f aca="false">IFERROR(VALUE(TRIM(LEFT(RIGHT(M490,18),11))),"")</f>
        <v/>
      </c>
    </row>
    <row r="491" customFormat="false" ht="14.25" hidden="false" customHeight="true" outlineLevel="0" collapsed="false">
      <c r="A491" s="12" t="str">
        <f aca="false">IF(E491="","",E491)</f>
        <v/>
      </c>
      <c r="B491" s="12" t="str">
        <f aca="false">IF(J491="","",J491)</f>
        <v/>
      </c>
      <c r="C491" s="12" t="str">
        <f aca="false">IF(N491="","",N491)</f>
        <v/>
      </c>
      <c r="E491" s="13" t="str">
        <f aca="false">IFERROR(VALUE(TRIM(LEFT(RIGHT(D491,18),11))),"")</f>
        <v/>
      </c>
      <c r="J491" s="13" t="str">
        <f aca="false">IFERROR(VALUE(TRIM(LEFT(RIGHT(I491,18),11))),"")</f>
        <v/>
      </c>
      <c r="N491" s="13" t="str">
        <f aca="false">IFERROR(VALUE(TRIM(LEFT(RIGHT(M491,18),11))),"")</f>
        <v/>
      </c>
    </row>
    <row r="492" customFormat="false" ht="14.25" hidden="false" customHeight="true" outlineLevel="0" collapsed="false">
      <c r="A492" s="12" t="str">
        <f aca="false">IF(E492="","",E492)</f>
        <v/>
      </c>
      <c r="B492" s="12" t="str">
        <f aca="false">IF(J492="","",J492)</f>
        <v/>
      </c>
      <c r="C492" s="12" t="str">
        <f aca="false">IF(N492="","",N492)</f>
        <v/>
      </c>
      <c r="E492" s="13" t="str">
        <f aca="false">IFERROR(VALUE(TRIM(LEFT(RIGHT(D492,18),11))),"")</f>
        <v/>
      </c>
      <c r="J492" s="13" t="str">
        <f aca="false">IFERROR(VALUE(TRIM(LEFT(RIGHT(I492,18),11))),"")</f>
        <v/>
      </c>
      <c r="N492" s="13" t="str">
        <f aca="false">IFERROR(VALUE(TRIM(LEFT(RIGHT(M492,18),11))),"")</f>
        <v/>
      </c>
    </row>
    <row r="493" customFormat="false" ht="14.25" hidden="false" customHeight="true" outlineLevel="0" collapsed="false">
      <c r="A493" s="12" t="str">
        <f aca="false">IF(E493="","",E493)</f>
        <v/>
      </c>
      <c r="B493" s="12" t="str">
        <f aca="false">IF(J493="","",J493)</f>
        <v/>
      </c>
      <c r="C493" s="12" t="str">
        <f aca="false">IF(N493="","",N493)</f>
        <v/>
      </c>
      <c r="E493" s="13" t="str">
        <f aca="false">IFERROR(VALUE(TRIM(LEFT(RIGHT(D493,18),11))),"")</f>
        <v/>
      </c>
      <c r="J493" s="13" t="str">
        <f aca="false">IFERROR(VALUE(TRIM(LEFT(RIGHT(I493,18),11))),"")</f>
        <v/>
      </c>
      <c r="N493" s="13" t="str">
        <f aca="false">IFERROR(VALUE(TRIM(LEFT(RIGHT(M493,18),11))),"")</f>
        <v/>
      </c>
    </row>
    <row r="494" customFormat="false" ht="14.25" hidden="false" customHeight="true" outlineLevel="0" collapsed="false">
      <c r="A494" s="12" t="str">
        <f aca="false">IF(E494="","",E494)</f>
        <v/>
      </c>
      <c r="B494" s="12" t="str">
        <f aca="false">IF(J494="","",J494)</f>
        <v/>
      </c>
      <c r="C494" s="12" t="str">
        <f aca="false">IF(N494="","",N494)</f>
        <v/>
      </c>
      <c r="E494" s="13" t="str">
        <f aca="false">IFERROR(VALUE(TRIM(LEFT(RIGHT(D494,18),11))),"")</f>
        <v/>
      </c>
      <c r="J494" s="13" t="str">
        <f aca="false">IFERROR(VALUE(TRIM(LEFT(RIGHT(I494,18),11))),"")</f>
        <v/>
      </c>
      <c r="N494" s="13" t="str">
        <f aca="false">IFERROR(VALUE(TRIM(LEFT(RIGHT(M494,18),11))),"")</f>
        <v/>
      </c>
    </row>
    <row r="495" customFormat="false" ht="14.25" hidden="false" customHeight="true" outlineLevel="0" collapsed="false">
      <c r="A495" s="12" t="str">
        <f aca="false">IF(E495="","",E495)</f>
        <v/>
      </c>
      <c r="B495" s="12" t="str">
        <f aca="false">IF(J495="","",J495)</f>
        <v/>
      </c>
      <c r="C495" s="12" t="str">
        <f aca="false">IF(N495="","",N495)</f>
        <v/>
      </c>
      <c r="E495" s="13" t="str">
        <f aca="false">IFERROR(VALUE(TRIM(LEFT(RIGHT(D495,18),11))),"")</f>
        <v/>
      </c>
      <c r="J495" s="13" t="str">
        <f aca="false">IFERROR(VALUE(TRIM(LEFT(RIGHT(I495,18),11))),"")</f>
        <v/>
      </c>
      <c r="N495" s="13" t="str">
        <f aca="false">IFERROR(VALUE(TRIM(LEFT(RIGHT(M495,18),11))),"")</f>
        <v/>
      </c>
    </row>
    <row r="496" customFormat="false" ht="14.25" hidden="false" customHeight="true" outlineLevel="0" collapsed="false">
      <c r="A496" s="12" t="str">
        <f aca="false">IF(E496="","",E496)</f>
        <v/>
      </c>
      <c r="B496" s="12" t="str">
        <f aca="false">IF(J496="","",J496)</f>
        <v/>
      </c>
      <c r="C496" s="12" t="str">
        <f aca="false">IF(N496="","",N496)</f>
        <v/>
      </c>
      <c r="E496" s="13" t="str">
        <f aca="false">IFERROR(VALUE(TRIM(LEFT(RIGHT(D496,18),11))),"")</f>
        <v/>
      </c>
      <c r="J496" s="13" t="str">
        <f aca="false">IFERROR(VALUE(TRIM(LEFT(RIGHT(I496,18),11))),"")</f>
        <v/>
      </c>
      <c r="N496" s="13" t="str">
        <f aca="false">IFERROR(VALUE(TRIM(LEFT(RIGHT(M496,18),11))),"")</f>
        <v/>
      </c>
    </row>
    <row r="497" customFormat="false" ht="14.25" hidden="false" customHeight="true" outlineLevel="0" collapsed="false">
      <c r="A497" s="12" t="str">
        <f aca="false">IF(E497="","",E497)</f>
        <v/>
      </c>
      <c r="B497" s="12" t="str">
        <f aca="false">IF(J497="","",J497)</f>
        <v/>
      </c>
      <c r="C497" s="12" t="str">
        <f aca="false">IF(N497="","",N497)</f>
        <v/>
      </c>
      <c r="E497" s="13" t="str">
        <f aca="false">IFERROR(VALUE(TRIM(LEFT(RIGHT(D497,18),11))),"")</f>
        <v/>
      </c>
      <c r="J497" s="13" t="str">
        <f aca="false">IFERROR(VALUE(TRIM(LEFT(RIGHT(I497,18),11))),"")</f>
        <v/>
      </c>
      <c r="N497" s="13" t="str">
        <f aca="false">IFERROR(VALUE(TRIM(LEFT(RIGHT(M497,18),11))),"")</f>
        <v/>
      </c>
    </row>
    <row r="498" customFormat="false" ht="14.25" hidden="false" customHeight="true" outlineLevel="0" collapsed="false">
      <c r="A498" s="12" t="str">
        <f aca="false">IF(E498="","",E498)</f>
        <v/>
      </c>
      <c r="B498" s="12" t="str">
        <f aca="false">IF(J498="","",J498)</f>
        <v/>
      </c>
      <c r="C498" s="12" t="str">
        <f aca="false">IF(N498="","",N498)</f>
        <v/>
      </c>
      <c r="E498" s="13" t="str">
        <f aca="false">IFERROR(VALUE(TRIM(LEFT(RIGHT(D498,18),11))),"")</f>
        <v/>
      </c>
      <c r="J498" s="13" t="str">
        <f aca="false">IFERROR(VALUE(TRIM(LEFT(RIGHT(I498,18),11))),"")</f>
        <v/>
      </c>
      <c r="N498" s="13" t="str">
        <f aca="false">IFERROR(VALUE(TRIM(LEFT(RIGHT(M498,18),11))),"")</f>
        <v/>
      </c>
    </row>
    <row r="499" customFormat="false" ht="14.25" hidden="false" customHeight="true" outlineLevel="0" collapsed="false">
      <c r="A499" s="12" t="str">
        <f aca="false">IF(E499="","",E499)</f>
        <v/>
      </c>
      <c r="B499" s="12" t="str">
        <f aca="false">IF(J499="","",J499)</f>
        <v/>
      </c>
      <c r="C499" s="12" t="str">
        <f aca="false">IF(N499="","",N499)</f>
        <v/>
      </c>
      <c r="E499" s="13" t="str">
        <f aca="false">IFERROR(VALUE(TRIM(LEFT(RIGHT(D499,18),11))),"")</f>
        <v/>
      </c>
      <c r="J499" s="13" t="str">
        <f aca="false">IFERROR(VALUE(TRIM(LEFT(RIGHT(I499,18),11))),"")</f>
        <v/>
      </c>
      <c r="N499" s="13" t="str">
        <f aca="false">IFERROR(VALUE(TRIM(LEFT(RIGHT(M499,18),11))),"")</f>
        <v/>
      </c>
    </row>
    <row r="500" customFormat="false" ht="14.25" hidden="false" customHeight="true" outlineLevel="0" collapsed="false">
      <c r="A500" s="12" t="str">
        <f aca="false">IF(E500="","",E500)</f>
        <v/>
      </c>
      <c r="B500" s="12" t="str">
        <f aca="false">IF(J500="","",J500)</f>
        <v/>
      </c>
      <c r="C500" s="12" t="str">
        <f aca="false">IF(N500="","",N500)</f>
        <v/>
      </c>
      <c r="E500" s="13" t="str">
        <f aca="false">IFERROR(VALUE(TRIM(LEFT(RIGHT(D500,18),11))),"")</f>
        <v/>
      </c>
      <c r="J500" s="13" t="str">
        <f aca="false">IFERROR(VALUE(TRIM(LEFT(RIGHT(I500,18),11))),"")</f>
        <v/>
      </c>
      <c r="N500" s="13" t="str">
        <f aca="false">IFERROR(VALUE(TRIM(LEFT(RIGHT(M500,18),11))),"")</f>
        <v/>
      </c>
    </row>
    <row r="501" customFormat="false" ht="14.25" hidden="false" customHeight="true" outlineLevel="0" collapsed="false">
      <c r="A501" s="12" t="str">
        <f aca="false">IF(E501="","",E501)</f>
        <v/>
      </c>
      <c r="B501" s="12" t="str">
        <f aca="false">IF(J501="","",J501)</f>
        <v/>
      </c>
      <c r="C501" s="12" t="str">
        <f aca="false">IF(N501="","",N501)</f>
        <v/>
      </c>
      <c r="E501" s="13" t="str">
        <f aca="false">IFERROR(VALUE(TRIM(LEFT(RIGHT(D501,18),11))),"")</f>
        <v/>
      </c>
      <c r="J501" s="13" t="str">
        <f aca="false">IFERROR(VALUE(TRIM(LEFT(RIGHT(I501,18),11))),"")</f>
        <v/>
      </c>
      <c r="N501" s="13" t="str">
        <f aca="false">IFERROR(VALUE(TRIM(LEFT(RIGHT(M501,18),11))),"")</f>
        <v/>
      </c>
    </row>
    <row r="502" customFormat="false" ht="14.25" hidden="false" customHeight="true" outlineLevel="0" collapsed="false">
      <c r="A502" s="12" t="str">
        <f aca="false">IF(E502="","",E502)</f>
        <v/>
      </c>
      <c r="B502" s="12" t="str">
        <f aca="false">IF(J502="","",J502)</f>
        <v/>
      </c>
      <c r="C502" s="12" t="str">
        <f aca="false">IF(N502="","",N502)</f>
        <v/>
      </c>
      <c r="E502" s="13" t="str">
        <f aca="false">IFERROR(VALUE(TRIM(LEFT(RIGHT(D502,18),11))),"")</f>
        <v/>
      </c>
      <c r="J502" s="13" t="str">
        <f aca="false">IFERROR(VALUE(TRIM(LEFT(RIGHT(I502,18),11))),"")</f>
        <v/>
      </c>
      <c r="N502" s="13" t="str">
        <f aca="false">IFERROR(VALUE(TRIM(LEFT(RIGHT(M502,18),11))),"")</f>
        <v/>
      </c>
    </row>
    <row r="503" customFormat="false" ht="14.25" hidden="false" customHeight="true" outlineLevel="0" collapsed="false">
      <c r="A503" s="12" t="str">
        <f aca="false">IF(E503="","",E503)</f>
        <v/>
      </c>
      <c r="B503" s="12" t="str">
        <f aca="false">IF(J503="","",J503)</f>
        <v/>
      </c>
      <c r="C503" s="12" t="str">
        <f aca="false">IF(N503="","",N503)</f>
        <v/>
      </c>
      <c r="E503" s="13" t="str">
        <f aca="false">IFERROR(VALUE(TRIM(LEFT(RIGHT(D503,18),11))),"")</f>
        <v/>
      </c>
      <c r="J503" s="13" t="str">
        <f aca="false">IFERROR(VALUE(TRIM(LEFT(RIGHT(I503,18),11))),"")</f>
        <v/>
      </c>
      <c r="N503" s="13" t="str">
        <f aca="false">IFERROR(VALUE(TRIM(LEFT(RIGHT(M503,18),11))),"")</f>
        <v/>
      </c>
    </row>
    <row r="504" customFormat="false" ht="14.25" hidden="false" customHeight="true" outlineLevel="0" collapsed="false">
      <c r="A504" s="12" t="str">
        <f aca="false">IF(E504="","",E504)</f>
        <v/>
      </c>
      <c r="B504" s="12" t="str">
        <f aca="false">IF(J504="","",J504)</f>
        <v/>
      </c>
      <c r="C504" s="12" t="str">
        <f aca="false">IF(N504="","",N504)</f>
        <v/>
      </c>
      <c r="E504" s="13" t="str">
        <f aca="false">IFERROR(VALUE(TRIM(LEFT(RIGHT(D504,18),11))),"")</f>
        <v/>
      </c>
      <c r="J504" s="13" t="str">
        <f aca="false">IFERROR(VALUE(TRIM(LEFT(RIGHT(I504,18),11))),"")</f>
        <v/>
      </c>
      <c r="N504" s="13" t="str">
        <f aca="false">IFERROR(VALUE(TRIM(LEFT(RIGHT(M504,18),11))),"")</f>
        <v/>
      </c>
    </row>
    <row r="505" customFormat="false" ht="14.25" hidden="false" customHeight="true" outlineLevel="0" collapsed="false">
      <c r="A505" s="12" t="str">
        <f aca="false">IF(E505="","",E505)</f>
        <v/>
      </c>
      <c r="B505" s="12" t="str">
        <f aca="false">IF(J505="","",J505)</f>
        <v/>
      </c>
      <c r="C505" s="12" t="str">
        <f aca="false">IF(N505="","",N505)</f>
        <v/>
      </c>
      <c r="E505" s="13" t="str">
        <f aca="false">IFERROR(VALUE(TRIM(LEFT(RIGHT(D505,18),11))),"")</f>
        <v/>
      </c>
      <c r="J505" s="13" t="str">
        <f aca="false">IFERROR(VALUE(TRIM(LEFT(RIGHT(I505,18),11))),"")</f>
        <v/>
      </c>
      <c r="N505" s="13" t="str">
        <f aca="false">IFERROR(VALUE(TRIM(LEFT(RIGHT(M505,18),11))),"")</f>
        <v/>
      </c>
    </row>
    <row r="506" customFormat="false" ht="14.25" hidden="false" customHeight="true" outlineLevel="0" collapsed="false">
      <c r="A506" s="12" t="str">
        <f aca="false">IF(E506="","",E506)</f>
        <v/>
      </c>
      <c r="B506" s="12" t="str">
        <f aca="false">IF(J506="","",J506)</f>
        <v/>
      </c>
      <c r="C506" s="12" t="str">
        <f aca="false">IF(N506="","",N506)</f>
        <v/>
      </c>
      <c r="E506" s="13" t="str">
        <f aca="false">IFERROR(VALUE(TRIM(LEFT(RIGHT(D506,18),11))),"")</f>
        <v/>
      </c>
      <c r="J506" s="13" t="str">
        <f aca="false">IFERROR(VALUE(TRIM(LEFT(RIGHT(I506,18),11))),"")</f>
        <v/>
      </c>
      <c r="N506" s="13" t="str">
        <f aca="false">IFERROR(VALUE(TRIM(LEFT(RIGHT(M506,18),11))),"")</f>
        <v/>
      </c>
    </row>
    <row r="507" customFormat="false" ht="14.25" hidden="false" customHeight="true" outlineLevel="0" collapsed="false">
      <c r="A507" s="12" t="str">
        <f aca="false">IF(E507="","",E507)</f>
        <v/>
      </c>
      <c r="B507" s="12" t="str">
        <f aca="false">IF(J507="","",J507)</f>
        <v/>
      </c>
      <c r="C507" s="12" t="str">
        <f aca="false">IF(N507="","",N507)</f>
        <v/>
      </c>
      <c r="E507" s="13" t="str">
        <f aca="false">IFERROR(VALUE(TRIM(LEFT(RIGHT(D507,18),11))),"")</f>
        <v/>
      </c>
      <c r="J507" s="13" t="str">
        <f aca="false">IFERROR(VALUE(TRIM(LEFT(RIGHT(I507,18),11))),"")</f>
        <v/>
      </c>
      <c r="N507" s="13" t="str">
        <f aca="false">IFERROR(VALUE(TRIM(LEFT(RIGHT(M507,18),11))),"")</f>
        <v/>
      </c>
    </row>
    <row r="508" customFormat="false" ht="14.25" hidden="false" customHeight="true" outlineLevel="0" collapsed="false">
      <c r="A508" s="12" t="str">
        <f aca="false">IF(E508="","",E508)</f>
        <v/>
      </c>
      <c r="B508" s="12" t="str">
        <f aca="false">IF(J508="","",J508)</f>
        <v/>
      </c>
      <c r="C508" s="12" t="str">
        <f aca="false">IF(N508="","",N508)</f>
        <v/>
      </c>
      <c r="E508" s="13" t="str">
        <f aca="false">IFERROR(VALUE(TRIM(LEFT(RIGHT(D508,18),11))),"")</f>
        <v/>
      </c>
      <c r="J508" s="13" t="str">
        <f aca="false">IFERROR(VALUE(TRIM(LEFT(RIGHT(I508,18),11))),"")</f>
        <v/>
      </c>
      <c r="N508" s="13" t="str">
        <f aca="false">IFERROR(VALUE(TRIM(LEFT(RIGHT(M508,18),11))),"")</f>
        <v/>
      </c>
    </row>
    <row r="509" customFormat="false" ht="14.25" hidden="false" customHeight="true" outlineLevel="0" collapsed="false">
      <c r="A509" s="12" t="str">
        <f aca="false">IF(E509="","",E509)</f>
        <v/>
      </c>
      <c r="B509" s="12" t="str">
        <f aca="false">IF(J509="","",J509)</f>
        <v/>
      </c>
      <c r="C509" s="12" t="str">
        <f aca="false">IF(N509="","",N509)</f>
        <v/>
      </c>
      <c r="E509" s="13" t="str">
        <f aca="false">IFERROR(VALUE(TRIM(LEFT(RIGHT(D509,18),11))),"")</f>
        <v/>
      </c>
      <c r="J509" s="13" t="str">
        <f aca="false">IFERROR(VALUE(TRIM(LEFT(RIGHT(I509,18),11))),"")</f>
        <v/>
      </c>
      <c r="N509" s="13" t="str">
        <f aca="false">IFERROR(VALUE(TRIM(LEFT(RIGHT(M509,18),11))),"")</f>
        <v/>
      </c>
    </row>
    <row r="510" customFormat="false" ht="14.25" hidden="false" customHeight="true" outlineLevel="0" collapsed="false">
      <c r="A510" s="12" t="str">
        <f aca="false">IF(E510="","",E510)</f>
        <v/>
      </c>
      <c r="B510" s="12" t="str">
        <f aca="false">IF(J510="","",J510)</f>
        <v/>
      </c>
      <c r="C510" s="12" t="str">
        <f aca="false">IF(N510="","",N510)</f>
        <v/>
      </c>
      <c r="E510" s="13" t="str">
        <f aca="false">IFERROR(VALUE(TRIM(LEFT(RIGHT(D510,18),11))),"")</f>
        <v/>
      </c>
      <c r="J510" s="13" t="str">
        <f aca="false">IFERROR(VALUE(TRIM(LEFT(RIGHT(I510,18),11))),"")</f>
        <v/>
      </c>
      <c r="N510" s="13" t="str">
        <f aca="false">IFERROR(VALUE(TRIM(LEFT(RIGHT(M510,18),11))),"")</f>
        <v/>
      </c>
    </row>
    <row r="511" customFormat="false" ht="14.25" hidden="false" customHeight="true" outlineLevel="0" collapsed="false">
      <c r="A511" s="12" t="str">
        <f aca="false">IF(E511="","",E511)</f>
        <v/>
      </c>
      <c r="B511" s="12" t="str">
        <f aca="false">IF(J511="","",J511)</f>
        <v/>
      </c>
      <c r="C511" s="12" t="str">
        <f aca="false">IF(N511="","",N511)</f>
        <v/>
      </c>
      <c r="E511" s="13" t="str">
        <f aca="false">IFERROR(VALUE(TRIM(LEFT(RIGHT(D511,18),11))),"")</f>
        <v/>
      </c>
      <c r="J511" s="13" t="str">
        <f aca="false">IFERROR(VALUE(TRIM(LEFT(RIGHT(I511,18),11))),"")</f>
        <v/>
      </c>
      <c r="N511" s="13" t="str">
        <f aca="false">IFERROR(VALUE(TRIM(LEFT(RIGHT(M511,18),11))),"")</f>
        <v/>
      </c>
    </row>
    <row r="512" customFormat="false" ht="14.25" hidden="false" customHeight="true" outlineLevel="0" collapsed="false">
      <c r="A512" s="12" t="str">
        <f aca="false">IF(E512="","",E512)</f>
        <v/>
      </c>
      <c r="B512" s="12" t="str">
        <f aca="false">IF(J512="","",J512)</f>
        <v/>
      </c>
      <c r="C512" s="12" t="str">
        <f aca="false">IF(N512="","",N512)</f>
        <v/>
      </c>
      <c r="E512" s="13" t="str">
        <f aca="false">IFERROR(VALUE(TRIM(LEFT(RIGHT(D512,18),11))),"")</f>
        <v/>
      </c>
      <c r="J512" s="13" t="str">
        <f aca="false">IFERROR(VALUE(TRIM(LEFT(RIGHT(I512,18),11))),"")</f>
        <v/>
      </c>
      <c r="N512" s="13" t="str">
        <f aca="false">IFERROR(VALUE(TRIM(LEFT(RIGHT(M512,18),11))),"")</f>
        <v/>
      </c>
    </row>
    <row r="513" customFormat="false" ht="14.25" hidden="false" customHeight="true" outlineLevel="0" collapsed="false">
      <c r="A513" s="12" t="str">
        <f aca="false">IF(E513="","",E513)</f>
        <v/>
      </c>
      <c r="B513" s="12" t="str">
        <f aca="false">IF(J513="","",J513)</f>
        <v/>
      </c>
      <c r="C513" s="12" t="str">
        <f aca="false">IF(N513="","",N513)</f>
        <v/>
      </c>
      <c r="E513" s="13" t="str">
        <f aca="false">IFERROR(VALUE(TRIM(LEFT(RIGHT(D513,18),11))),"")</f>
        <v/>
      </c>
      <c r="J513" s="13" t="str">
        <f aca="false">IFERROR(VALUE(TRIM(LEFT(RIGHT(I513,18),11))),"")</f>
        <v/>
      </c>
      <c r="N513" s="13" t="str">
        <f aca="false">IFERROR(VALUE(TRIM(LEFT(RIGHT(M513,18),11))),"")</f>
        <v/>
      </c>
    </row>
    <row r="514" customFormat="false" ht="14.25" hidden="false" customHeight="true" outlineLevel="0" collapsed="false">
      <c r="A514" s="12" t="str">
        <f aca="false">IF(E514="","",E514)</f>
        <v/>
      </c>
      <c r="B514" s="12" t="str">
        <f aca="false">IF(J514="","",J514)</f>
        <v/>
      </c>
      <c r="C514" s="12" t="str">
        <f aca="false">IF(N514="","",N514)</f>
        <v/>
      </c>
      <c r="E514" s="13" t="str">
        <f aca="false">IFERROR(VALUE(TRIM(LEFT(RIGHT(D514,18),11))),"")</f>
        <v/>
      </c>
      <c r="J514" s="13" t="str">
        <f aca="false">IFERROR(VALUE(TRIM(LEFT(RIGHT(I514,18),11))),"")</f>
        <v/>
      </c>
      <c r="N514" s="13" t="str">
        <f aca="false">IFERROR(VALUE(TRIM(LEFT(RIGHT(M514,18),11))),"")</f>
        <v/>
      </c>
    </row>
    <row r="515" customFormat="false" ht="14.25" hidden="false" customHeight="true" outlineLevel="0" collapsed="false">
      <c r="A515" s="12" t="str">
        <f aca="false">IF(E515="","",E515)</f>
        <v/>
      </c>
      <c r="B515" s="12" t="str">
        <f aca="false">IF(J515="","",J515)</f>
        <v/>
      </c>
      <c r="C515" s="12" t="str">
        <f aca="false">IF(N515="","",N515)</f>
        <v/>
      </c>
      <c r="E515" s="13" t="str">
        <f aca="false">IFERROR(VALUE(TRIM(LEFT(RIGHT(D515,18),11))),"")</f>
        <v/>
      </c>
      <c r="J515" s="13" t="str">
        <f aca="false">IFERROR(VALUE(TRIM(LEFT(RIGHT(I515,18),11))),"")</f>
        <v/>
      </c>
      <c r="N515" s="13" t="str">
        <f aca="false">IFERROR(VALUE(TRIM(LEFT(RIGHT(M515,18),11))),"")</f>
        <v/>
      </c>
    </row>
    <row r="516" customFormat="false" ht="14.25" hidden="false" customHeight="true" outlineLevel="0" collapsed="false">
      <c r="A516" s="12" t="str">
        <f aca="false">IF(E516="","",E516)</f>
        <v/>
      </c>
      <c r="B516" s="12" t="str">
        <f aca="false">IF(J516="","",J516)</f>
        <v/>
      </c>
      <c r="C516" s="12" t="str">
        <f aca="false">IF(N516="","",N516)</f>
        <v/>
      </c>
      <c r="E516" s="13" t="str">
        <f aca="false">IFERROR(VALUE(TRIM(LEFT(RIGHT(D516,18),11))),"")</f>
        <v/>
      </c>
      <c r="J516" s="13" t="str">
        <f aca="false">IFERROR(VALUE(TRIM(LEFT(RIGHT(I516,18),11))),"")</f>
        <v/>
      </c>
      <c r="N516" s="13" t="str">
        <f aca="false">IFERROR(VALUE(TRIM(LEFT(RIGHT(M516,18),11))),"")</f>
        <v/>
      </c>
    </row>
    <row r="517" customFormat="false" ht="14.25" hidden="false" customHeight="true" outlineLevel="0" collapsed="false">
      <c r="A517" s="12" t="str">
        <f aca="false">IF(E517="","",E517)</f>
        <v/>
      </c>
      <c r="B517" s="12" t="str">
        <f aca="false">IF(J517="","",J517)</f>
        <v/>
      </c>
      <c r="C517" s="12" t="str">
        <f aca="false">IF(N517="","",N517)</f>
        <v/>
      </c>
      <c r="E517" s="13" t="str">
        <f aca="false">IFERROR(VALUE(TRIM(LEFT(RIGHT(D517,18),11))),"")</f>
        <v/>
      </c>
      <c r="J517" s="13" t="str">
        <f aca="false">IFERROR(VALUE(TRIM(LEFT(RIGHT(I517,18),11))),"")</f>
        <v/>
      </c>
      <c r="N517" s="13" t="str">
        <f aca="false">IFERROR(VALUE(TRIM(LEFT(RIGHT(M517,18),11))),"")</f>
        <v/>
      </c>
    </row>
    <row r="518" customFormat="false" ht="14.25" hidden="false" customHeight="true" outlineLevel="0" collapsed="false">
      <c r="A518" s="12" t="str">
        <f aca="false">IF(E518="","",E518)</f>
        <v/>
      </c>
      <c r="B518" s="12" t="str">
        <f aca="false">IF(J518="","",J518)</f>
        <v/>
      </c>
      <c r="C518" s="12" t="str">
        <f aca="false">IF(N518="","",N518)</f>
        <v/>
      </c>
      <c r="E518" s="13" t="str">
        <f aca="false">IFERROR(VALUE(TRIM(LEFT(RIGHT(D518,18),11))),"")</f>
        <v/>
      </c>
      <c r="J518" s="13" t="str">
        <f aca="false">IFERROR(VALUE(TRIM(LEFT(RIGHT(I518,18),11))),"")</f>
        <v/>
      </c>
      <c r="N518" s="13" t="str">
        <f aca="false">IFERROR(VALUE(TRIM(LEFT(RIGHT(M518,18),11))),"")</f>
        <v/>
      </c>
    </row>
    <row r="519" customFormat="false" ht="14.25" hidden="false" customHeight="true" outlineLevel="0" collapsed="false">
      <c r="A519" s="12" t="str">
        <f aca="false">IF(E519="","",E519)</f>
        <v/>
      </c>
      <c r="B519" s="12" t="str">
        <f aca="false">IF(J519="","",J519)</f>
        <v/>
      </c>
      <c r="C519" s="12" t="str">
        <f aca="false">IF(N519="","",N519)</f>
        <v/>
      </c>
      <c r="E519" s="13" t="str">
        <f aca="false">IFERROR(VALUE(TRIM(LEFT(RIGHT(D519,18),11))),"")</f>
        <v/>
      </c>
      <c r="J519" s="13" t="str">
        <f aca="false">IFERROR(VALUE(TRIM(LEFT(RIGHT(I519,18),11))),"")</f>
        <v/>
      </c>
      <c r="N519" s="13" t="str">
        <f aca="false">IFERROR(VALUE(TRIM(LEFT(RIGHT(M519,18),11))),"")</f>
        <v/>
      </c>
    </row>
    <row r="520" customFormat="false" ht="14.25" hidden="false" customHeight="true" outlineLevel="0" collapsed="false">
      <c r="A520" s="12" t="str">
        <f aca="false">IF(E520="","",E520)</f>
        <v/>
      </c>
      <c r="B520" s="12" t="str">
        <f aca="false">IF(J520="","",J520)</f>
        <v/>
      </c>
      <c r="C520" s="12" t="str">
        <f aca="false">IF(N520="","",N520)</f>
        <v/>
      </c>
      <c r="E520" s="13" t="str">
        <f aca="false">IFERROR(VALUE(TRIM(LEFT(RIGHT(D520,18),11))),"")</f>
        <v/>
      </c>
      <c r="J520" s="13" t="str">
        <f aca="false">IFERROR(VALUE(TRIM(LEFT(RIGHT(I520,18),11))),"")</f>
        <v/>
      </c>
      <c r="N520" s="13" t="str">
        <f aca="false">IFERROR(VALUE(TRIM(LEFT(RIGHT(M520,18),11))),"")</f>
        <v/>
      </c>
    </row>
    <row r="521" customFormat="false" ht="14.25" hidden="false" customHeight="true" outlineLevel="0" collapsed="false">
      <c r="A521" s="12" t="str">
        <f aca="false">IF(E521="","",E521)</f>
        <v/>
      </c>
      <c r="B521" s="12" t="str">
        <f aca="false">IF(J521="","",J521)</f>
        <v/>
      </c>
      <c r="C521" s="12" t="str">
        <f aca="false">IF(N521="","",N521)</f>
        <v/>
      </c>
      <c r="E521" s="13" t="str">
        <f aca="false">IFERROR(VALUE(TRIM(LEFT(RIGHT(D521,18),11))),"")</f>
        <v/>
      </c>
      <c r="J521" s="13" t="str">
        <f aca="false">IFERROR(VALUE(TRIM(LEFT(RIGHT(I521,18),11))),"")</f>
        <v/>
      </c>
      <c r="N521" s="13" t="str">
        <f aca="false">IFERROR(VALUE(TRIM(LEFT(RIGHT(M521,18),11))),"")</f>
        <v/>
      </c>
    </row>
    <row r="522" customFormat="false" ht="14.25" hidden="false" customHeight="true" outlineLevel="0" collapsed="false">
      <c r="A522" s="12" t="str">
        <f aca="false">IF(E522="","",E522)</f>
        <v/>
      </c>
      <c r="B522" s="12" t="str">
        <f aca="false">IF(J522="","",J522)</f>
        <v/>
      </c>
      <c r="C522" s="12" t="str">
        <f aca="false">IF(N522="","",N522)</f>
        <v/>
      </c>
      <c r="E522" s="13" t="str">
        <f aca="false">IFERROR(VALUE(TRIM(LEFT(RIGHT(D522,18),11))),"")</f>
        <v/>
      </c>
      <c r="J522" s="13" t="str">
        <f aca="false">IFERROR(VALUE(TRIM(LEFT(RIGHT(I522,18),11))),"")</f>
        <v/>
      </c>
      <c r="N522" s="13" t="str">
        <f aca="false">IFERROR(VALUE(TRIM(LEFT(RIGHT(M522,18),11))),"")</f>
        <v/>
      </c>
    </row>
    <row r="523" customFormat="false" ht="14.25" hidden="false" customHeight="true" outlineLevel="0" collapsed="false">
      <c r="A523" s="12" t="str">
        <f aca="false">IF(E523="","",E523)</f>
        <v/>
      </c>
      <c r="B523" s="12" t="str">
        <f aca="false">IF(J523="","",J523)</f>
        <v/>
      </c>
      <c r="C523" s="12" t="str">
        <f aca="false">IF(N523="","",N523)</f>
        <v/>
      </c>
      <c r="E523" s="13" t="str">
        <f aca="false">IFERROR(VALUE(TRIM(LEFT(RIGHT(D523,18),11))),"")</f>
        <v/>
      </c>
      <c r="J523" s="13" t="str">
        <f aca="false">IFERROR(VALUE(TRIM(LEFT(RIGHT(I523,18),11))),"")</f>
        <v/>
      </c>
      <c r="N523" s="13" t="str">
        <f aca="false">IFERROR(VALUE(TRIM(LEFT(RIGHT(M523,18),11))),"")</f>
        <v/>
      </c>
    </row>
    <row r="524" customFormat="false" ht="14.25" hidden="false" customHeight="true" outlineLevel="0" collapsed="false">
      <c r="A524" s="12" t="str">
        <f aca="false">IF(E524="","",E524)</f>
        <v/>
      </c>
      <c r="B524" s="12" t="str">
        <f aca="false">IF(J524="","",J524)</f>
        <v/>
      </c>
      <c r="C524" s="12" t="str">
        <f aca="false">IF(N524="","",N524)</f>
        <v/>
      </c>
      <c r="E524" s="13" t="str">
        <f aca="false">IFERROR(VALUE(TRIM(LEFT(RIGHT(D524,18),11))),"")</f>
        <v/>
      </c>
      <c r="J524" s="13" t="str">
        <f aca="false">IFERROR(VALUE(TRIM(LEFT(RIGHT(I524,18),11))),"")</f>
        <v/>
      </c>
      <c r="N524" s="13" t="str">
        <f aca="false">IFERROR(VALUE(TRIM(LEFT(RIGHT(M524,18),11))),"")</f>
        <v/>
      </c>
    </row>
    <row r="525" customFormat="false" ht="14.25" hidden="false" customHeight="true" outlineLevel="0" collapsed="false">
      <c r="A525" s="12" t="str">
        <f aca="false">IF(E525="","",E525)</f>
        <v/>
      </c>
      <c r="B525" s="12" t="str">
        <f aca="false">IF(J525="","",J525)</f>
        <v/>
      </c>
      <c r="C525" s="12" t="str">
        <f aca="false">IF(N525="","",N525)</f>
        <v/>
      </c>
      <c r="E525" s="13" t="str">
        <f aca="false">IFERROR(VALUE(TRIM(LEFT(RIGHT(D525,18),11))),"")</f>
        <v/>
      </c>
      <c r="J525" s="13" t="str">
        <f aca="false">IFERROR(VALUE(TRIM(LEFT(RIGHT(I525,18),11))),"")</f>
        <v/>
      </c>
      <c r="N525" s="13" t="str">
        <f aca="false">IFERROR(VALUE(TRIM(LEFT(RIGHT(M525,18),11))),"")</f>
        <v/>
      </c>
    </row>
    <row r="526" customFormat="false" ht="14.25" hidden="false" customHeight="true" outlineLevel="0" collapsed="false">
      <c r="A526" s="12" t="str">
        <f aca="false">IF(E526="","",E526)</f>
        <v/>
      </c>
      <c r="B526" s="12" t="str">
        <f aca="false">IF(J526="","",J526)</f>
        <v/>
      </c>
      <c r="C526" s="12" t="str">
        <f aca="false">IF(N526="","",N526)</f>
        <v/>
      </c>
      <c r="E526" s="13" t="str">
        <f aca="false">IFERROR(VALUE(TRIM(LEFT(RIGHT(D526,18),11))),"")</f>
        <v/>
      </c>
      <c r="J526" s="13" t="str">
        <f aca="false">IFERROR(VALUE(TRIM(LEFT(RIGHT(I526,18),11))),"")</f>
        <v/>
      </c>
      <c r="N526" s="13" t="str">
        <f aca="false">IFERROR(VALUE(TRIM(LEFT(RIGHT(M526,18),11))),"")</f>
        <v/>
      </c>
    </row>
    <row r="527" customFormat="false" ht="14.25" hidden="false" customHeight="true" outlineLevel="0" collapsed="false">
      <c r="A527" s="12" t="str">
        <f aca="false">IF(E527="","",E527)</f>
        <v/>
      </c>
      <c r="B527" s="12" t="str">
        <f aca="false">IF(J527="","",J527)</f>
        <v/>
      </c>
      <c r="C527" s="12" t="str">
        <f aca="false">IF(N527="","",N527)</f>
        <v/>
      </c>
      <c r="E527" s="13" t="str">
        <f aca="false">IFERROR(VALUE(TRIM(LEFT(RIGHT(D527,18),11))),"")</f>
        <v/>
      </c>
      <c r="J527" s="13" t="str">
        <f aca="false">IFERROR(VALUE(TRIM(LEFT(RIGHT(I527,18),11))),"")</f>
        <v/>
      </c>
      <c r="N527" s="13" t="str">
        <f aca="false">IFERROR(VALUE(TRIM(LEFT(RIGHT(M527,18),11))),"")</f>
        <v/>
      </c>
    </row>
    <row r="528" customFormat="false" ht="14.25" hidden="false" customHeight="true" outlineLevel="0" collapsed="false">
      <c r="A528" s="12" t="str">
        <f aca="false">IF(E528="","",E528)</f>
        <v/>
      </c>
      <c r="B528" s="12" t="str">
        <f aca="false">IF(J528="","",J528)</f>
        <v/>
      </c>
      <c r="C528" s="12" t="str">
        <f aca="false">IF(N528="","",N528)</f>
        <v/>
      </c>
      <c r="E528" s="13" t="str">
        <f aca="false">IFERROR(VALUE(TRIM(LEFT(RIGHT(D528,18),11))),"")</f>
        <v/>
      </c>
      <c r="J528" s="13" t="str">
        <f aca="false">IFERROR(VALUE(TRIM(LEFT(RIGHT(I528,18),11))),"")</f>
        <v/>
      </c>
      <c r="N528" s="13" t="str">
        <f aca="false">IFERROR(VALUE(TRIM(LEFT(RIGHT(M528,18),11))),"")</f>
        <v/>
      </c>
    </row>
    <row r="529" customFormat="false" ht="14.25" hidden="false" customHeight="true" outlineLevel="0" collapsed="false">
      <c r="A529" s="12" t="str">
        <f aca="false">IF(E529="","",E529)</f>
        <v/>
      </c>
      <c r="B529" s="12" t="str">
        <f aca="false">IF(J529="","",J529)</f>
        <v/>
      </c>
      <c r="C529" s="12" t="str">
        <f aca="false">IF(N529="","",N529)</f>
        <v/>
      </c>
      <c r="E529" s="13" t="str">
        <f aca="false">IFERROR(VALUE(TRIM(LEFT(RIGHT(D529,18),11))),"")</f>
        <v/>
      </c>
      <c r="J529" s="13" t="str">
        <f aca="false">IFERROR(VALUE(TRIM(LEFT(RIGHT(I529,18),11))),"")</f>
        <v/>
      </c>
      <c r="N529" s="13" t="str">
        <f aca="false">IFERROR(VALUE(TRIM(LEFT(RIGHT(M529,18),11))),"")</f>
        <v/>
      </c>
    </row>
    <row r="530" customFormat="false" ht="14.25" hidden="false" customHeight="true" outlineLevel="0" collapsed="false">
      <c r="A530" s="12" t="str">
        <f aca="false">IF(E530="","",E530)</f>
        <v/>
      </c>
      <c r="B530" s="12" t="str">
        <f aca="false">IF(J530="","",J530)</f>
        <v/>
      </c>
      <c r="C530" s="12" t="str">
        <f aca="false">IF(N530="","",N530)</f>
        <v/>
      </c>
      <c r="E530" s="13" t="str">
        <f aca="false">IFERROR(VALUE(TRIM(LEFT(RIGHT(D530,18),11))),"")</f>
        <v/>
      </c>
      <c r="J530" s="13" t="str">
        <f aca="false">IFERROR(VALUE(TRIM(LEFT(RIGHT(I530,18),11))),"")</f>
        <v/>
      </c>
      <c r="N530" s="13" t="str">
        <f aca="false">IFERROR(VALUE(TRIM(LEFT(RIGHT(M530,18),11))),"")</f>
        <v/>
      </c>
    </row>
    <row r="531" customFormat="false" ht="14.25" hidden="false" customHeight="true" outlineLevel="0" collapsed="false">
      <c r="A531" s="12" t="str">
        <f aca="false">IF(E531="","",E531)</f>
        <v/>
      </c>
      <c r="B531" s="12" t="str">
        <f aca="false">IF(J531="","",J531)</f>
        <v/>
      </c>
      <c r="C531" s="12" t="str">
        <f aca="false">IF(N531="","",N531)</f>
        <v/>
      </c>
      <c r="E531" s="13" t="str">
        <f aca="false">IFERROR(VALUE(TRIM(LEFT(RIGHT(D531,18),11))),"")</f>
        <v/>
      </c>
      <c r="J531" s="13" t="str">
        <f aca="false">IFERROR(VALUE(TRIM(LEFT(RIGHT(I531,18),11))),"")</f>
        <v/>
      </c>
      <c r="N531" s="13" t="str">
        <f aca="false">IFERROR(VALUE(TRIM(LEFT(RIGHT(M531,18),11))),"")</f>
        <v/>
      </c>
    </row>
    <row r="532" customFormat="false" ht="14.25" hidden="false" customHeight="true" outlineLevel="0" collapsed="false">
      <c r="A532" s="12" t="str">
        <f aca="false">IF(E532="","",E532)</f>
        <v/>
      </c>
      <c r="B532" s="12" t="str">
        <f aca="false">IF(J532="","",J532)</f>
        <v/>
      </c>
      <c r="C532" s="12" t="str">
        <f aca="false">IF(N532="","",N532)</f>
        <v/>
      </c>
      <c r="E532" s="13" t="str">
        <f aca="false">IFERROR(VALUE(TRIM(LEFT(RIGHT(D532,18),11))),"")</f>
        <v/>
      </c>
      <c r="J532" s="13" t="str">
        <f aca="false">IFERROR(VALUE(TRIM(LEFT(RIGHT(I532,18),11))),"")</f>
        <v/>
      </c>
      <c r="N532" s="13" t="str">
        <f aca="false">IFERROR(VALUE(TRIM(LEFT(RIGHT(M532,18),11))),"")</f>
        <v/>
      </c>
    </row>
    <row r="533" customFormat="false" ht="14.25" hidden="false" customHeight="true" outlineLevel="0" collapsed="false">
      <c r="A533" s="12" t="str">
        <f aca="false">IF(E533="","",E533)</f>
        <v/>
      </c>
      <c r="B533" s="12" t="str">
        <f aca="false">IF(J533="","",J533)</f>
        <v/>
      </c>
      <c r="C533" s="12" t="str">
        <f aca="false">IF(N533="","",N533)</f>
        <v/>
      </c>
      <c r="E533" s="13" t="str">
        <f aca="false">IFERROR(VALUE(TRIM(LEFT(RIGHT(D533,18),11))),"")</f>
        <v/>
      </c>
      <c r="J533" s="13" t="str">
        <f aca="false">IFERROR(VALUE(TRIM(LEFT(RIGHT(I533,18),11))),"")</f>
        <v/>
      </c>
      <c r="N533" s="13" t="str">
        <f aca="false">IFERROR(VALUE(TRIM(LEFT(RIGHT(M533,18),11))),"")</f>
        <v/>
      </c>
    </row>
    <row r="534" customFormat="false" ht="14.25" hidden="false" customHeight="true" outlineLevel="0" collapsed="false">
      <c r="A534" s="12" t="str">
        <f aca="false">IF(E534="","",E534)</f>
        <v/>
      </c>
      <c r="B534" s="12" t="str">
        <f aca="false">IF(J534="","",J534)</f>
        <v/>
      </c>
      <c r="C534" s="12" t="str">
        <f aca="false">IF(N534="","",N534)</f>
        <v/>
      </c>
      <c r="E534" s="13" t="str">
        <f aca="false">IFERROR(VALUE(TRIM(LEFT(RIGHT(D534,18),11))),"")</f>
        <v/>
      </c>
      <c r="J534" s="13" t="str">
        <f aca="false">IFERROR(VALUE(TRIM(LEFT(RIGHT(I534,18),11))),"")</f>
        <v/>
      </c>
      <c r="N534" s="13" t="str">
        <f aca="false">IFERROR(VALUE(TRIM(LEFT(RIGHT(M534,18),11))),"")</f>
        <v/>
      </c>
    </row>
    <row r="535" customFormat="false" ht="14.25" hidden="false" customHeight="true" outlineLevel="0" collapsed="false">
      <c r="A535" s="12" t="str">
        <f aca="false">IF(E535="","",E535)</f>
        <v/>
      </c>
      <c r="B535" s="12" t="str">
        <f aca="false">IF(J535="","",J535)</f>
        <v/>
      </c>
      <c r="C535" s="12" t="str">
        <f aca="false">IF(N535="","",N535)</f>
        <v/>
      </c>
      <c r="E535" s="13" t="str">
        <f aca="false">IFERROR(VALUE(TRIM(LEFT(RIGHT(D535,18),11))),"")</f>
        <v/>
      </c>
      <c r="J535" s="13" t="str">
        <f aca="false">IFERROR(VALUE(TRIM(LEFT(RIGHT(I535,18),11))),"")</f>
        <v/>
      </c>
      <c r="N535" s="13" t="str">
        <f aca="false">IFERROR(VALUE(TRIM(LEFT(RIGHT(M535,18),11))),"")</f>
        <v/>
      </c>
    </row>
    <row r="536" customFormat="false" ht="14.25" hidden="false" customHeight="true" outlineLevel="0" collapsed="false">
      <c r="A536" s="12" t="str">
        <f aca="false">IF(E536="","",E536)</f>
        <v/>
      </c>
      <c r="B536" s="12" t="str">
        <f aca="false">IF(J536="","",J536)</f>
        <v/>
      </c>
      <c r="C536" s="12" t="str">
        <f aca="false">IF(N536="","",N536)</f>
        <v/>
      </c>
      <c r="E536" s="13" t="str">
        <f aca="false">IFERROR(VALUE(TRIM(LEFT(RIGHT(D536,18),11))),"")</f>
        <v/>
      </c>
      <c r="J536" s="13" t="str">
        <f aca="false">IFERROR(VALUE(TRIM(LEFT(RIGHT(I536,18),11))),"")</f>
        <v/>
      </c>
      <c r="N536" s="13" t="str">
        <f aca="false">IFERROR(VALUE(TRIM(LEFT(RIGHT(M536,18),11))),"")</f>
        <v/>
      </c>
    </row>
    <row r="537" customFormat="false" ht="14.25" hidden="false" customHeight="true" outlineLevel="0" collapsed="false">
      <c r="A537" s="12" t="str">
        <f aca="false">IF(E537="","",E537)</f>
        <v/>
      </c>
      <c r="B537" s="12" t="str">
        <f aca="false">IF(J537="","",J537)</f>
        <v/>
      </c>
      <c r="C537" s="12" t="str">
        <f aca="false">IF(N537="","",N537)</f>
        <v/>
      </c>
      <c r="E537" s="13" t="str">
        <f aca="false">IFERROR(VALUE(TRIM(LEFT(RIGHT(D537,18),11))),"")</f>
        <v/>
      </c>
      <c r="J537" s="13" t="str">
        <f aca="false">IFERROR(VALUE(TRIM(LEFT(RIGHT(I537,18),11))),"")</f>
        <v/>
      </c>
      <c r="N537" s="13" t="str">
        <f aca="false">IFERROR(VALUE(TRIM(LEFT(RIGHT(M537,18),11))),"")</f>
        <v/>
      </c>
    </row>
    <row r="538" customFormat="false" ht="14.25" hidden="false" customHeight="true" outlineLevel="0" collapsed="false">
      <c r="A538" s="12" t="str">
        <f aca="false">IF(E538="","",E538)</f>
        <v/>
      </c>
      <c r="B538" s="12" t="str">
        <f aca="false">IF(J538="","",J538)</f>
        <v/>
      </c>
      <c r="C538" s="12" t="str">
        <f aca="false">IF(N538="","",N538)</f>
        <v/>
      </c>
      <c r="E538" s="13" t="str">
        <f aca="false">IFERROR(VALUE(TRIM(LEFT(RIGHT(D538,18),11))),"")</f>
        <v/>
      </c>
      <c r="J538" s="13" t="str">
        <f aca="false">IFERROR(VALUE(TRIM(LEFT(RIGHT(I538,18),11))),"")</f>
        <v/>
      </c>
      <c r="N538" s="13" t="str">
        <f aca="false">IFERROR(VALUE(TRIM(LEFT(RIGHT(M538,18),11))),"")</f>
        <v/>
      </c>
    </row>
    <row r="539" customFormat="false" ht="14.25" hidden="false" customHeight="true" outlineLevel="0" collapsed="false">
      <c r="A539" s="12" t="str">
        <f aca="false">IF(E539="","",E539)</f>
        <v/>
      </c>
      <c r="B539" s="12" t="str">
        <f aca="false">IF(J539="","",J539)</f>
        <v/>
      </c>
      <c r="C539" s="12" t="str">
        <f aca="false">IF(N539="","",N539)</f>
        <v/>
      </c>
      <c r="E539" s="13" t="str">
        <f aca="false">IFERROR(VALUE(TRIM(LEFT(RIGHT(D539,18),11))),"")</f>
        <v/>
      </c>
      <c r="J539" s="13" t="str">
        <f aca="false">IFERROR(VALUE(TRIM(LEFT(RIGHT(I539,18),11))),"")</f>
        <v/>
      </c>
      <c r="N539" s="13" t="str">
        <f aca="false">IFERROR(VALUE(TRIM(LEFT(RIGHT(M539,18),11))),"")</f>
        <v/>
      </c>
    </row>
    <row r="540" customFormat="false" ht="14.25" hidden="false" customHeight="true" outlineLevel="0" collapsed="false">
      <c r="A540" s="12" t="str">
        <f aca="false">IF(E540="","",E540)</f>
        <v/>
      </c>
      <c r="B540" s="12" t="str">
        <f aca="false">IF(J540="","",J540)</f>
        <v/>
      </c>
      <c r="C540" s="12" t="str">
        <f aca="false">IF(N540="","",N540)</f>
        <v/>
      </c>
      <c r="E540" s="13" t="str">
        <f aca="false">IFERROR(VALUE(TRIM(LEFT(RIGHT(D540,18),11))),"")</f>
        <v/>
      </c>
      <c r="J540" s="13" t="str">
        <f aca="false">IFERROR(VALUE(TRIM(LEFT(RIGHT(I540,18),11))),"")</f>
        <v/>
      </c>
      <c r="N540" s="13" t="str">
        <f aca="false">IFERROR(VALUE(TRIM(LEFT(RIGHT(M540,18),11))),"")</f>
        <v/>
      </c>
    </row>
    <row r="541" customFormat="false" ht="14.25" hidden="false" customHeight="true" outlineLevel="0" collapsed="false">
      <c r="A541" s="12" t="str">
        <f aca="false">IF(E541="","",E541)</f>
        <v/>
      </c>
      <c r="B541" s="12" t="str">
        <f aca="false">IF(J541="","",J541)</f>
        <v/>
      </c>
      <c r="C541" s="12" t="str">
        <f aca="false">IF(N541="","",N541)</f>
        <v/>
      </c>
      <c r="E541" s="13" t="str">
        <f aca="false">IFERROR(VALUE(TRIM(LEFT(RIGHT(D541,18),11))),"")</f>
        <v/>
      </c>
      <c r="J541" s="13" t="str">
        <f aca="false">IFERROR(VALUE(TRIM(LEFT(RIGHT(I541,18),11))),"")</f>
        <v/>
      </c>
      <c r="N541" s="13" t="str">
        <f aca="false">IFERROR(VALUE(TRIM(LEFT(RIGHT(M541,18),11))),"")</f>
        <v/>
      </c>
    </row>
    <row r="542" customFormat="false" ht="14.25" hidden="false" customHeight="true" outlineLevel="0" collapsed="false">
      <c r="A542" s="12" t="str">
        <f aca="false">IF(E542="","",E542)</f>
        <v/>
      </c>
      <c r="B542" s="12" t="str">
        <f aca="false">IF(J542="","",J542)</f>
        <v/>
      </c>
      <c r="C542" s="12" t="str">
        <f aca="false">IF(N542="","",N542)</f>
        <v/>
      </c>
      <c r="E542" s="13" t="str">
        <f aca="false">IFERROR(VALUE(TRIM(LEFT(RIGHT(D542,18),11))),"")</f>
        <v/>
      </c>
      <c r="J542" s="13" t="str">
        <f aca="false">IFERROR(VALUE(TRIM(LEFT(RIGHT(I542,18),11))),"")</f>
        <v/>
      </c>
      <c r="N542" s="13" t="str">
        <f aca="false">IFERROR(VALUE(TRIM(LEFT(RIGHT(M542,18),11))),"")</f>
        <v/>
      </c>
    </row>
    <row r="543" customFormat="false" ht="14.25" hidden="false" customHeight="true" outlineLevel="0" collapsed="false">
      <c r="A543" s="12" t="str">
        <f aca="false">IF(E543="","",E543)</f>
        <v/>
      </c>
      <c r="B543" s="12" t="str">
        <f aca="false">IF(J543="","",J543)</f>
        <v/>
      </c>
      <c r="C543" s="12" t="str">
        <f aca="false">IF(N543="","",N543)</f>
        <v/>
      </c>
      <c r="E543" s="13" t="str">
        <f aca="false">IFERROR(VALUE(TRIM(LEFT(RIGHT(D543,18),11))),"")</f>
        <v/>
      </c>
      <c r="J543" s="13" t="str">
        <f aca="false">IFERROR(VALUE(TRIM(LEFT(RIGHT(I543,18),11))),"")</f>
        <v/>
      </c>
      <c r="N543" s="13" t="str">
        <f aca="false">IFERROR(VALUE(TRIM(LEFT(RIGHT(M543,18),11))),"")</f>
        <v/>
      </c>
    </row>
    <row r="544" customFormat="false" ht="14.25" hidden="false" customHeight="true" outlineLevel="0" collapsed="false">
      <c r="A544" s="12" t="str">
        <f aca="false">IF(E544="","",E544)</f>
        <v/>
      </c>
      <c r="B544" s="12" t="str">
        <f aca="false">IF(J544="","",J544)</f>
        <v/>
      </c>
      <c r="C544" s="12" t="str">
        <f aca="false">IF(N544="","",N544)</f>
        <v/>
      </c>
      <c r="E544" s="13" t="str">
        <f aca="false">IFERROR(VALUE(TRIM(LEFT(RIGHT(D544,18),11))),"")</f>
        <v/>
      </c>
      <c r="J544" s="13" t="str">
        <f aca="false">IFERROR(VALUE(TRIM(LEFT(RIGHT(I544,18),11))),"")</f>
        <v/>
      </c>
      <c r="N544" s="13" t="str">
        <f aca="false">IFERROR(VALUE(TRIM(LEFT(RIGHT(M544,18),11))),"")</f>
        <v/>
      </c>
    </row>
    <row r="545" customFormat="false" ht="14.25" hidden="false" customHeight="true" outlineLevel="0" collapsed="false">
      <c r="A545" s="12" t="str">
        <f aca="false">IF(E545="","",E545)</f>
        <v/>
      </c>
      <c r="B545" s="12" t="str">
        <f aca="false">IF(J545="","",J545)</f>
        <v/>
      </c>
      <c r="C545" s="12" t="str">
        <f aca="false">IF(N545="","",N545)</f>
        <v/>
      </c>
      <c r="E545" s="13" t="str">
        <f aca="false">IFERROR(VALUE(TRIM(LEFT(RIGHT(D545,18),11))),"")</f>
        <v/>
      </c>
      <c r="J545" s="13" t="str">
        <f aca="false">IFERROR(VALUE(TRIM(LEFT(RIGHT(I545,18),11))),"")</f>
        <v/>
      </c>
      <c r="N545" s="13" t="str">
        <f aca="false">IFERROR(VALUE(TRIM(LEFT(RIGHT(M545,18),11))),"")</f>
        <v/>
      </c>
    </row>
    <row r="546" customFormat="false" ht="14.25" hidden="false" customHeight="true" outlineLevel="0" collapsed="false">
      <c r="A546" s="12" t="str">
        <f aca="false">IF(E546="","",E546)</f>
        <v/>
      </c>
      <c r="B546" s="12" t="str">
        <f aca="false">IF(J546="","",J546)</f>
        <v/>
      </c>
      <c r="C546" s="12" t="str">
        <f aca="false">IF(N546="","",N546)</f>
        <v/>
      </c>
      <c r="E546" s="13" t="str">
        <f aca="false">IFERROR(VALUE(TRIM(LEFT(RIGHT(D546,18),11))),"")</f>
        <v/>
      </c>
      <c r="J546" s="13" t="str">
        <f aca="false">IFERROR(VALUE(TRIM(LEFT(RIGHT(I546,18),11))),"")</f>
        <v/>
      </c>
      <c r="N546" s="13" t="str">
        <f aca="false">IFERROR(VALUE(TRIM(LEFT(RIGHT(M546,18),11))),"")</f>
        <v/>
      </c>
    </row>
    <row r="547" customFormat="false" ht="14.25" hidden="false" customHeight="true" outlineLevel="0" collapsed="false">
      <c r="A547" s="12" t="str">
        <f aca="false">IF(E547="","",E547)</f>
        <v/>
      </c>
      <c r="B547" s="12" t="str">
        <f aca="false">IF(J547="","",J547)</f>
        <v/>
      </c>
      <c r="C547" s="12" t="str">
        <f aca="false">IF(N547="","",N547)</f>
        <v/>
      </c>
      <c r="E547" s="13" t="str">
        <f aca="false">IFERROR(VALUE(TRIM(LEFT(RIGHT(D547,18),11))),"")</f>
        <v/>
      </c>
      <c r="J547" s="13" t="str">
        <f aca="false">IFERROR(VALUE(TRIM(LEFT(RIGHT(I547,18),11))),"")</f>
        <v/>
      </c>
      <c r="N547" s="13" t="str">
        <f aca="false">IFERROR(VALUE(TRIM(LEFT(RIGHT(M547,18),11))),"")</f>
        <v/>
      </c>
    </row>
    <row r="548" customFormat="false" ht="14.25" hidden="false" customHeight="true" outlineLevel="0" collapsed="false">
      <c r="A548" s="12" t="str">
        <f aca="false">IF(E548="","",E548)</f>
        <v/>
      </c>
      <c r="B548" s="12" t="str">
        <f aca="false">IF(J548="","",J548)</f>
        <v/>
      </c>
      <c r="C548" s="12" t="str">
        <f aca="false">IF(N548="","",N548)</f>
        <v/>
      </c>
      <c r="E548" s="13" t="str">
        <f aca="false">IFERROR(VALUE(TRIM(LEFT(RIGHT(D548,18),11))),"")</f>
        <v/>
      </c>
      <c r="J548" s="13" t="str">
        <f aca="false">IFERROR(VALUE(TRIM(LEFT(RIGHT(I548,18),11))),"")</f>
        <v/>
      </c>
      <c r="N548" s="13" t="str">
        <f aca="false">IFERROR(VALUE(TRIM(LEFT(RIGHT(M548,18),11))),"")</f>
        <v/>
      </c>
    </row>
    <row r="549" customFormat="false" ht="14.25" hidden="false" customHeight="true" outlineLevel="0" collapsed="false">
      <c r="A549" s="12" t="str">
        <f aca="false">IF(E549="","",E549)</f>
        <v/>
      </c>
      <c r="B549" s="12" t="str">
        <f aca="false">IF(J549="","",J549)</f>
        <v/>
      </c>
      <c r="C549" s="12" t="str">
        <f aca="false">IF(N549="","",N549)</f>
        <v/>
      </c>
      <c r="E549" s="13" t="str">
        <f aca="false">IFERROR(VALUE(TRIM(LEFT(RIGHT(D549,18),11))),"")</f>
        <v/>
      </c>
      <c r="J549" s="13" t="str">
        <f aca="false">IFERROR(VALUE(TRIM(LEFT(RIGHT(I549,18),11))),"")</f>
        <v/>
      </c>
      <c r="N549" s="13" t="str">
        <f aca="false">IFERROR(VALUE(TRIM(LEFT(RIGHT(M549,18),11))),"")</f>
        <v/>
      </c>
    </row>
    <row r="550" customFormat="false" ht="14.25" hidden="false" customHeight="true" outlineLevel="0" collapsed="false">
      <c r="A550" s="12" t="str">
        <f aca="false">IF(E550="","",E550)</f>
        <v/>
      </c>
      <c r="B550" s="12" t="str">
        <f aca="false">IF(J550="","",J550)</f>
        <v/>
      </c>
      <c r="C550" s="12" t="str">
        <f aca="false">IF(N550="","",N550)</f>
        <v/>
      </c>
      <c r="E550" s="13" t="str">
        <f aca="false">IFERROR(VALUE(TRIM(LEFT(RIGHT(D550,18),11))),"")</f>
        <v/>
      </c>
      <c r="J550" s="13" t="str">
        <f aca="false">IFERROR(VALUE(TRIM(LEFT(RIGHT(I550,18),11))),"")</f>
        <v/>
      </c>
      <c r="N550" s="13" t="str">
        <f aca="false">IFERROR(VALUE(TRIM(LEFT(RIGHT(M550,18),11))),"")</f>
        <v/>
      </c>
    </row>
    <row r="551" customFormat="false" ht="14.25" hidden="false" customHeight="true" outlineLevel="0" collapsed="false">
      <c r="A551" s="12" t="str">
        <f aca="false">IF(E551="","",E551)</f>
        <v/>
      </c>
      <c r="B551" s="12" t="str">
        <f aca="false">IF(J551="","",J551)</f>
        <v/>
      </c>
      <c r="C551" s="12" t="str">
        <f aca="false">IF(N551="","",N551)</f>
        <v/>
      </c>
      <c r="E551" s="13" t="str">
        <f aca="false">IFERROR(VALUE(TRIM(LEFT(RIGHT(D551,18),11))),"")</f>
        <v/>
      </c>
      <c r="J551" s="13" t="str">
        <f aca="false">IFERROR(VALUE(TRIM(LEFT(RIGHT(I551,18),11))),"")</f>
        <v/>
      </c>
      <c r="N551" s="13" t="str">
        <f aca="false">IFERROR(VALUE(TRIM(LEFT(RIGHT(M551,18),11))),"")</f>
        <v/>
      </c>
    </row>
    <row r="552" customFormat="false" ht="14.25" hidden="false" customHeight="true" outlineLevel="0" collapsed="false">
      <c r="A552" s="12" t="str">
        <f aca="false">IF(E552="","",E552)</f>
        <v/>
      </c>
      <c r="B552" s="12" t="str">
        <f aca="false">IF(J552="","",J552)</f>
        <v/>
      </c>
      <c r="C552" s="12" t="str">
        <f aca="false">IF(N552="","",N552)</f>
        <v/>
      </c>
      <c r="E552" s="13" t="str">
        <f aca="false">IFERROR(VALUE(TRIM(LEFT(RIGHT(D552,18),11))),"")</f>
        <v/>
      </c>
      <c r="J552" s="13" t="str">
        <f aca="false">IFERROR(VALUE(TRIM(LEFT(RIGHT(I552,18),11))),"")</f>
        <v/>
      </c>
      <c r="N552" s="13" t="str">
        <f aca="false">IFERROR(VALUE(TRIM(LEFT(RIGHT(M552,18),11))),"")</f>
        <v/>
      </c>
    </row>
    <row r="553" customFormat="false" ht="14.25" hidden="false" customHeight="true" outlineLevel="0" collapsed="false">
      <c r="A553" s="12" t="str">
        <f aca="false">IF(E553="","",E553)</f>
        <v/>
      </c>
      <c r="B553" s="12" t="str">
        <f aca="false">IF(J553="","",J553)</f>
        <v/>
      </c>
      <c r="C553" s="12" t="str">
        <f aca="false">IF(N553="","",N553)</f>
        <v/>
      </c>
      <c r="E553" s="13" t="str">
        <f aca="false">IFERROR(VALUE(TRIM(LEFT(RIGHT(D553,18),11))),"")</f>
        <v/>
      </c>
      <c r="J553" s="13" t="str">
        <f aca="false">IFERROR(VALUE(TRIM(LEFT(RIGHT(I553,18),11))),"")</f>
        <v/>
      </c>
      <c r="N553" s="13" t="str">
        <f aca="false">IFERROR(VALUE(TRIM(LEFT(RIGHT(M553,18),11))),"")</f>
        <v/>
      </c>
    </row>
    <row r="554" customFormat="false" ht="14.25" hidden="false" customHeight="true" outlineLevel="0" collapsed="false">
      <c r="A554" s="12" t="str">
        <f aca="false">IF(E554="","",E554)</f>
        <v/>
      </c>
      <c r="B554" s="12" t="str">
        <f aca="false">IF(J554="","",J554)</f>
        <v/>
      </c>
      <c r="C554" s="12" t="str">
        <f aca="false">IF(N554="","",N554)</f>
        <v/>
      </c>
      <c r="E554" s="13" t="str">
        <f aca="false">IFERROR(VALUE(TRIM(LEFT(RIGHT(D554,18),11))),"")</f>
        <v/>
      </c>
      <c r="J554" s="13" t="str">
        <f aca="false">IFERROR(VALUE(TRIM(LEFT(RIGHT(I554,18),11))),"")</f>
        <v/>
      </c>
      <c r="N554" s="13" t="str">
        <f aca="false">IFERROR(VALUE(TRIM(LEFT(RIGHT(M554,18),11))),"")</f>
        <v/>
      </c>
    </row>
    <row r="555" customFormat="false" ht="14.25" hidden="false" customHeight="true" outlineLevel="0" collapsed="false">
      <c r="A555" s="12" t="str">
        <f aca="false">IF(E555="","",E555)</f>
        <v/>
      </c>
      <c r="B555" s="12" t="str">
        <f aca="false">IF(J555="","",J555)</f>
        <v/>
      </c>
      <c r="C555" s="12" t="str">
        <f aca="false">IF(N555="","",N555)</f>
        <v/>
      </c>
      <c r="E555" s="13" t="str">
        <f aca="false">IFERROR(VALUE(TRIM(LEFT(RIGHT(D555,18),11))),"")</f>
        <v/>
      </c>
      <c r="J555" s="13" t="str">
        <f aca="false">IFERROR(VALUE(TRIM(LEFT(RIGHT(I555,18),11))),"")</f>
        <v/>
      </c>
      <c r="N555" s="13" t="str">
        <f aca="false">IFERROR(VALUE(TRIM(LEFT(RIGHT(M555,18),11))),"")</f>
        <v/>
      </c>
    </row>
    <row r="556" customFormat="false" ht="14.25" hidden="false" customHeight="true" outlineLevel="0" collapsed="false">
      <c r="A556" s="12" t="str">
        <f aca="false">IF(E556="","",E556)</f>
        <v/>
      </c>
      <c r="B556" s="12" t="str">
        <f aca="false">IF(J556="","",J556)</f>
        <v/>
      </c>
      <c r="C556" s="12" t="str">
        <f aca="false">IF(N556="","",N556)</f>
        <v/>
      </c>
      <c r="E556" s="13" t="str">
        <f aca="false">IFERROR(VALUE(TRIM(LEFT(RIGHT(D556,18),11))),"")</f>
        <v/>
      </c>
      <c r="J556" s="13" t="str">
        <f aca="false">IFERROR(VALUE(TRIM(LEFT(RIGHT(I556,18),11))),"")</f>
        <v/>
      </c>
      <c r="N556" s="13" t="str">
        <f aca="false">IFERROR(VALUE(TRIM(LEFT(RIGHT(M556,18),11))),"")</f>
        <v/>
      </c>
    </row>
    <row r="557" customFormat="false" ht="14.25" hidden="false" customHeight="true" outlineLevel="0" collapsed="false">
      <c r="A557" s="12" t="str">
        <f aca="false">IF(E557="","",E557)</f>
        <v/>
      </c>
      <c r="B557" s="12" t="str">
        <f aca="false">IF(J557="","",J557)</f>
        <v/>
      </c>
      <c r="C557" s="12" t="str">
        <f aca="false">IF(N557="","",N557)</f>
        <v/>
      </c>
      <c r="E557" s="13" t="str">
        <f aca="false">IFERROR(VALUE(TRIM(LEFT(RIGHT(D557,18),11))),"")</f>
        <v/>
      </c>
      <c r="J557" s="13" t="str">
        <f aca="false">IFERROR(VALUE(TRIM(LEFT(RIGHT(I557,18),11))),"")</f>
        <v/>
      </c>
      <c r="N557" s="13" t="str">
        <f aca="false">IFERROR(VALUE(TRIM(LEFT(RIGHT(M557,18),11))),"")</f>
        <v/>
      </c>
    </row>
    <row r="558" customFormat="false" ht="14.25" hidden="false" customHeight="true" outlineLevel="0" collapsed="false">
      <c r="A558" s="12" t="str">
        <f aca="false">IF(E558="","",E558)</f>
        <v/>
      </c>
      <c r="B558" s="12" t="str">
        <f aca="false">IF(J558="","",J558)</f>
        <v/>
      </c>
      <c r="C558" s="12" t="str">
        <f aca="false">IF(N558="","",N558)</f>
        <v/>
      </c>
      <c r="E558" s="13" t="str">
        <f aca="false">IFERROR(VALUE(TRIM(LEFT(RIGHT(D558,18),11))),"")</f>
        <v/>
      </c>
      <c r="J558" s="13" t="str">
        <f aca="false">IFERROR(VALUE(TRIM(LEFT(RIGHT(I558,18),11))),"")</f>
        <v/>
      </c>
      <c r="N558" s="13" t="str">
        <f aca="false">IFERROR(VALUE(TRIM(LEFT(RIGHT(M558,18),11))),"")</f>
        <v/>
      </c>
    </row>
    <row r="559" customFormat="false" ht="14.25" hidden="false" customHeight="true" outlineLevel="0" collapsed="false">
      <c r="A559" s="12" t="str">
        <f aca="false">IF(E559="","",E559)</f>
        <v/>
      </c>
      <c r="B559" s="12" t="str">
        <f aca="false">IF(J559="","",J559)</f>
        <v/>
      </c>
      <c r="C559" s="12" t="str">
        <f aca="false">IF(N559="","",N559)</f>
        <v/>
      </c>
      <c r="E559" s="13" t="str">
        <f aca="false">IFERROR(VALUE(TRIM(LEFT(RIGHT(D559,18),11))),"")</f>
        <v/>
      </c>
      <c r="J559" s="13" t="str">
        <f aca="false">IFERROR(VALUE(TRIM(LEFT(RIGHT(I559,18),11))),"")</f>
        <v/>
      </c>
      <c r="N559" s="13" t="str">
        <f aca="false">IFERROR(VALUE(TRIM(LEFT(RIGHT(M559,18),11))),"")</f>
        <v/>
      </c>
    </row>
    <row r="560" customFormat="false" ht="14.25" hidden="false" customHeight="true" outlineLevel="0" collapsed="false">
      <c r="A560" s="12" t="str">
        <f aca="false">IF(E560="","",E560)</f>
        <v/>
      </c>
      <c r="B560" s="12" t="str">
        <f aca="false">IF(J560="","",J560)</f>
        <v/>
      </c>
      <c r="C560" s="12" t="str">
        <f aca="false">IF(N560="","",N560)</f>
        <v/>
      </c>
      <c r="E560" s="13" t="str">
        <f aca="false">IFERROR(VALUE(TRIM(LEFT(RIGHT(D560,18),11))),"")</f>
        <v/>
      </c>
      <c r="J560" s="13" t="str">
        <f aca="false">IFERROR(VALUE(TRIM(LEFT(RIGHT(I560,18),11))),"")</f>
        <v/>
      </c>
      <c r="N560" s="13" t="str">
        <f aca="false">IFERROR(VALUE(TRIM(LEFT(RIGHT(M560,18),11))),"")</f>
        <v/>
      </c>
    </row>
    <row r="561" customFormat="false" ht="14.25" hidden="false" customHeight="true" outlineLevel="0" collapsed="false">
      <c r="A561" s="12" t="str">
        <f aca="false">IF(E561="","",E561)</f>
        <v/>
      </c>
      <c r="B561" s="12" t="str">
        <f aca="false">IF(J561="","",J561)</f>
        <v/>
      </c>
      <c r="C561" s="12" t="str">
        <f aca="false">IF(N561="","",N561)</f>
        <v/>
      </c>
      <c r="E561" s="13" t="str">
        <f aca="false">IFERROR(VALUE(TRIM(LEFT(RIGHT(D561,18),11))),"")</f>
        <v/>
      </c>
      <c r="J561" s="13" t="str">
        <f aca="false">IFERROR(VALUE(TRIM(LEFT(RIGHT(I561,18),11))),"")</f>
        <v/>
      </c>
      <c r="N561" s="13" t="str">
        <f aca="false">IFERROR(VALUE(TRIM(LEFT(RIGHT(M561,18),11))),"")</f>
        <v/>
      </c>
    </row>
    <row r="562" customFormat="false" ht="14.25" hidden="false" customHeight="true" outlineLevel="0" collapsed="false">
      <c r="A562" s="12" t="str">
        <f aca="false">IF(E562="","",E562)</f>
        <v/>
      </c>
      <c r="B562" s="12" t="str">
        <f aca="false">IF(J562="","",J562)</f>
        <v/>
      </c>
      <c r="C562" s="12" t="str">
        <f aca="false">IF(N562="","",N562)</f>
        <v/>
      </c>
      <c r="E562" s="13" t="str">
        <f aca="false">IFERROR(VALUE(TRIM(LEFT(RIGHT(D562,18),11))),"")</f>
        <v/>
      </c>
      <c r="J562" s="13" t="str">
        <f aca="false">IFERROR(VALUE(TRIM(LEFT(RIGHT(I562,18),11))),"")</f>
        <v/>
      </c>
      <c r="N562" s="13" t="str">
        <f aca="false">IFERROR(VALUE(TRIM(LEFT(RIGHT(M562,18),11))),"")</f>
        <v/>
      </c>
    </row>
    <row r="563" customFormat="false" ht="14.25" hidden="false" customHeight="true" outlineLevel="0" collapsed="false">
      <c r="A563" s="12" t="str">
        <f aca="false">IF(E563="","",E563)</f>
        <v/>
      </c>
      <c r="B563" s="12" t="str">
        <f aca="false">IF(J563="","",J563)</f>
        <v/>
      </c>
      <c r="C563" s="12" t="str">
        <f aca="false">IF(N563="","",N563)</f>
        <v/>
      </c>
      <c r="E563" s="13" t="str">
        <f aca="false">IFERROR(VALUE(TRIM(LEFT(RIGHT(D563,18),11))),"")</f>
        <v/>
      </c>
      <c r="J563" s="13" t="str">
        <f aca="false">IFERROR(VALUE(TRIM(LEFT(RIGHT(I563,18),11))),"")</f>
        <v/>
      </c>
      <c r="N563" s="13" t="str">
        <f aca="false">IFERROR(VALUE(TRIM(LEFT(RIGHT(M563,18),11))),"")</f>
        <v/>
      </c>
    </row>
    <row r="564" customFormat="false" ht="14.25" hidden="false" customHeight="true" outlineLevel="0" collapsed="false">
      <c r="A564" s="12" t="str">
        <f aca="false">IF(E564="","",E564)</f>
        <v/>
      </c>
      <c r="B564" s="12" t="str">
        <f aca="false">IF(J564="","",J564)</f>
        <v/>
      </c>
      <c r="C564" s="12" t="str">
        <f aca="false">IF(N564="","",N564)</f>
        <v/>
      </c>
      <c r="E564" s="13" t="str">
        <f aca="false">IFERROR(VALUE(TRIM(LEFT(RIGHT(D564,18),11))),"")</f>
        <v/>
      </c>
      <c r="J564" s="13" t="str">
        <f aca="false">IFERROR(VALUE(TRIM(LEFT(RIGHT(I564,18),11))),"")</f>
        <v/>
      </c>
      <c r="N564" s="13" t="str">
        <f aca="false">IFERROR(VALUE(TRIM(LEFT(RIGHT(M564,18),11))),"")</f>
        <v/>
      </c>
    </row>
    <row r="565" customFormat="false" ht="14.25" hidden="false" customHeight="true" outlineLevel="0" collapsed="false">
      <c r="A565" s="12" t="str">
        <f aca="false">IF(E565="","",E565)</f>
        <v/>
      </c>
      <c r="B565" s="12" t="str">
        <f aca="false">IF(J565="","",J565)</f>
        <v/>
      </c>
      <c r="C565" s="12" t="str">
        <f aca="false">IF(N565="","",N565)</f>
        <v/>
      </c>
      <c r="E565" s="13" t="str">
        <f aca="false">IFERROR(VALUE(TRIM(LEFT(RIGHT(D565,18),11))),"")</f>
        <v/>
      </c>
      <c r="J565" s="13" t="str">
        <f aca="false">IFERROR(VALUE(TRIM(LEFT(RIGHT(I565,18),11))),"")</f>
        <v/>
      </c>
      <c r="N565" s="13" t="str">
        <f aca="false">IFERROR(VALUE(TRIM(LEFT(RIGHT(M565,18),11))),"")</f>
        <v/>
      </c>
    </row>
    <row r="566" customFormat="false" ht="14.25" hidden="false" customHeight="true" outlineLevel="0" collapsed="false">
      <c r="A566" s="12" t="str">
        <f aca="false">IF(E566="","",E566)</f>
        <v/>
      </c>
      <c r="B566" s="12" t="str">
        <f aca="false">IF(J566="","",J566)</f>
        <v/>
      </c>
      <c r="C566" s="12" t="str">
        <f aca="false">IF(N566="","",N566)</f>
        <v/>
      </c>
      <c r="E566" s="13" t="str">
        <f aca="false">IFERROR(VALUE(TRIM(LEFT(RIGHT(D566,18),11))),"")</f>
        <v/>
      </c>
      <c r="J566" s="13" t="str">
        <f aca="false">IFERROR(VALUE(TRIM(LEFT(RIGHT(I566,18),11))),"")</f>
        <v/>
      </c>
      <c r="N566" s="13" t="str">
        <f aca="false">IFERROR(VALUE(TRIM(LEFT(RIGHT(M566,18),11))),"")</f>
        <v/>
      </c>
    </row>
    <row r="567" customFormat="false" ht="14.25" hidden="false" customHeight="true" outlineLevel="0" collapsed="false">
      <c r="A567" s="12" t="str">
        <f aca="false">IF(E567="","",E567)</f>
        <v/>
      </c>
      <c r="B567" s="12" t="str">
        <f aca="false">IF(J567="","",J567)</f>
        <v/>
      </c>
      <c r="C567" s="12" t="str">
        <f aca="false">IF(N567="","",N567)</f>
        <v/>
      </c>
      <c r="E567" s="13" t="str">
        <f aca="false">IFERROR(VALUE(TRIM(LEFT(RIGHT(D567,18),11))),"")</f>
        <v/>
      </c>
      <c r="J567" s="13" t="str">
        <f aca="false">IFERROR(VALUE(TRIM(LEFT(RIGHT(I567,18),11))),"")</f>
        <v/>
      </c>
      <c r="N567" s="13" t="str">
        <f aca="false">IFERROR(VALUE(TRIM(LEFT(RIGHT(M567,18),11))),"")</f>
        <v/>
      </c>
    </row>
    <row r="568" customFormat="false" ht="14.25" hidden="false" customHeight="true" outlineLevel="0" collapsed="false">
      <c r="A568" s="12" t="str">
        <f aca="false">IF(E568="","",E568)</f>
        <v/>
      </c>
      <c r="B568" s="12" t="str">
        <f aca="false">IF(J568="","",J568)</f>
        <v/>
      </c>
      <c r="C568" s="12" t="str">
        <f aca="false">IF(N568="","",N568)</f>
        <v/>
      </c>
      <c r="E568" s="13" t="str">
        <f aca="false">IFERROR(VALUE(TRIM(LEFT(RIGHT(D568,18),11))),"")</f>
        <v/>
      </c>
      <c r="J568" s="13" t="str">
        <f aca="false">IFERROR(VALUE(TRIM(LEFT(RIGHT(I568,18),11))),"")</f>
        <v/>
      </c>
      <c r="N568" s="13" t="str">
        <f aca="false">IFERROR(VALUE(TRIM(LEFT(RIGHT(M568,18),11))),"")</f>
        <v/>
      </c>
    </row>
    <row r="569" customFormat="false" ht="14.25" hidden="false" customHeight="true" outlineLevel="0" collapsed="false">
      <c r="A569" s="12" t="str">
        <f aca="false">IF(E569="","",E569)</f>
        <v/>
      </c>
      <c r="B569" s="12" t="str">
        <f aca="false">IF(J569="","",J569)</f>
        <v/>
      </c>
      <c r="C569" s="12" t="str">
        <f aca="false">IF(N569="","",N569)</f>
        <v/>
      </c>
      <c r="E569" s="13" t="str">
        <f aca="false">IFERROR(VALUE(TRIM(LEFT(RIGHT(D569,18),11))),"")</f>
        <v/>
      </c>
      <c r="J569" s="13" t="str">
        <f aca="false">IFERROR(VALUE(TRIM(LEFT(RIGHT(I569,18),11))),"")</f>
        <v/>
      </c>
      <c r="N569" s="13" t="str">
        <f aca="false">IFERROR(VALUE(TRIM(LEFT(RIGHT(M569,18),11))),"")</f>
        <v/>
      </c>
    </row>
    <row r="570" customFormat="false" ht="14.25" hidden="false" customHeight="true" outlineLevel="0" collapsed="false">
      <c r="A570" s="12" t="str">
        <f aca="false">IF(E570="","",E570)</f>
        <v/>
      </c>
      <c r="B570" s="12" t="str">
        <f aca="false">IF(J570="","",J570)</f>
        <v/>
      </c>
      <c r="C570" s="12" t="str">
        <f aca="false">IF(N570="","",N570)</f>
        <v/>
      </c>
      <c r="E570" s="13" t="str">
        <f aca="false">IFERROR(VALUE(TRIM(LEFT(RIGHT(D570,18),11))),"")</f>
        <v/>
      </c>
      <c r="J570" s="13" t="str">
        <f aca="false">IFERROR(VALUE(TRIM(LEFT(RIGHT(I570,18),11))),"")</f>
        <v/>
      </c>
      <c r="N570" s="13" t="str">
        <f aca="false">IFERROR(VALUE(TRIM(LEFT(RIGHT(M570,18),11))),"")</f>
        <v/>
      </c>
    </row>
    <row r="571" customFormat="false" ht="14.25" hidden="false" customHeight="true" outlineLevel="0" collapsed="false">
      <c r="A571" s="12" t="str">
        <f aca="false">IF(E571="","",E571)</f>
        <v/>
      </c>
      <c r="B571" s="12" t="str">
        <f aca="false">IF(J571="","",J571)</f>
        <v/>
      </c>
      <c r="C571" s="12" t="str">
        <f aca="false">IF(N571="","",N571)</f>
        <v/>
      </c>
      <c r="E571" s="13" t="str">
        <f aca="false">IFERROR(VALUE(TRIM(LEFT(RIGHT(D571,18),11))),"")</f>
        <v/>
      </c>
      <c r="J571" s="13" t="str">
        <f aca="false">IFERROR(VALUE(TRIM(LEFT(RIGHT(I571,18),11))),"")</f>
        <v/>
      </c>
      <c r="N571" s="13" t="str">
        <f aca="false">IFERROR(VALUE(TRIM(LEFT(RIGHT(M571,18),11))),"")</f>
        <v/>
      </c>
    </row>
    <row r="572" customFormat="false" ht="14.25" hidden="false" customHeight="true" outlineLevel="0" collapsed="false">
      <c r="A572" s="12" t="str">
        <f aca="false">IF(E572="","",E572)</f>
        <v/>
      </c>
      <c r="B572" s="12" t="str">
        <f aca="false">IF(J572="","",J572)</f>
        <v/>
      </c>
      <c r="C572" s="12" t="str">
        <f aca="false">IF(N572="","",N572)</f>
        <v/>
      </c>
      <c r="E572" s="13" t="str">
        <f aca="false">IFERROR(VALUE(TRIM(LEFT(RIGHT(D572,18),11))),"")</f>
        <v/>
      </c>
      <c r="J572" s="13" t="str">
        <f aca="false">IFERROR(VALUE(TRIM(LEFT(RIGHT(I572,18),11))),"")</f>
        <v/>
      </c>
      <c r="N572" s="13" t="str">
        <f aca="false">IFERROR(VALUE(TRIM(LEFT(RIGHT(M572,18),11))),"")</f>
        <v/>
      </c>
    </row>
    <row r="573" customFormat="false" ht="14.25" hidden="false" customHeight="true" outlineLevel="0" collapsed="false">
      <c r="A573" s="12" t="str">
        <f aca="false">IF(E573="","",E573)</f>
        <v/>
      </c>
      <c r="B573" s="12" t="str">
        <f aca="false">IF(J573="","",J573)</f>
        <v/>
      </c>
      <c r="C573" s="12" t="str">
        <f aca="false">IF(N573="","",N573)</f>
        <v/>
      </c>
      <c r="E573" s="13" t="str">
        <f aca="false">IFERROR(VALUE(TRIM(LEFT(RIGHT(D573,18),11))),"")</f>
        <v/>
      </c>
      <c r="J573" s="13" t="str">
        <f aca="false">IFERROR(VALUE(TRIM(LEFT(RIGHT(I573,18),11))),"")</f>
        <v/>
      </c>
      <c r="N573" s="13" t="str">
        <f aca="false">IFERROR(VALUE(TRIM(LEFT(RIGHT(M573,18),11))),"")</f>
        <v/>
      </c>
    </row>
    <row r="574" customFormat="false" ht="14.25" hidden="false" customHeight="true" outlineLevel="0" collapsed="false">
      <c r="A574" s="12" t="str">
        <f aca="false">IF(E574="","",E574)</f>
        <v/>
      </c>
      <c r="B574" s="12" t="str">
        <f aca="false">IF(J574="","",J574)</f>
        <v/>
      </c>
      <c r="C574" s="12" t="str">
        <f aca="false">IF(N574="","",N574)</f>
        <v/>
      </c>
      <c r="E574" s="13" t="str">
        <f aca="false">IFERROR(VALUE(TRIM(LEFT(RIGHT(D574,18),11))),"")</f>
        <v/>
      </c>
      <c r="J574" s="13" t="str">
        <f aca="false">IFERROR(VALUE(TRIM(LEFT(RIGHT(I574,18),11))),"")</f>
        <v/>
      </c>
      <c r="N574" s="13" t="str">
        <f aca="false">IFERROR(VALUE(TRIM(LEFT(RIGHT(M574,18),11))),"")</f>
        <v/>
      </c>
    </row>
    <row r="575" customFormat="false" ht="14.25" hidden="false" customHeight="true" outlineLevel="0" collapsed="false">
      <c r="A575" s="12" t="str">
        <f aca="false">IF(E575="","",E575)</f>
        <v/>
      </c>
      <c r="B575" s="12" t="str">
        <f aca="false">IF(J575="","",J575)</f>
        <v/>
      </c>
      <c r="C575" s="12" t="str">
        <f aca="false">IF(N575="","",N575)</f>
        <v/>
      </c>
      <c r="E575" s="13" t="str">
        <f aca="false">IFERROR(VALUE(TRIM(LEFT(RIGHT(D575,18),11))),"")</f>
        <v/>
      </c>
      <c r="J575" s="13" t="str">
        <f aca="false">IFERROR(VALUE(TRIM(LEFT(RIGHT(I575,18),11))),"")</f>
        <v/>
      </c>
      <c r="N575" s="13" t="str">
        <f aca="false">IFERROR(VALUE(TRIM(LEFT(RIGHT(M575,18),11))),"")</f>
        <v/>
      </c>
    </row>
    <row r="576" customFormat="false" ht="14.25" hidden="false" customHeight="true" outlineLevel="0" collapsed="false">
      <c r="A576" s="12" t="str">
        <f aca="false">IF(E576="","",E576)</f>
        <v/>
      </c>
      <c r="B576" s="12" t="str">
        <f aca="false">IF(J576="","",J576)</f>
        <v/>
      </c>
      <c r="C576" s="12" t="str">
        <f aca="false">IF(N576="","",N576)</f>
        <v/>
      </c>
      <c r="E576" s="13" t="str">
        <f aca="false">IFERROR(VALUE(TRIM(LEFT(RIGHT(D576,18),11))),"")</f>
        <v/>
      </c>
      <c r="J576" s="13" t="str">
        <f aca="false">IFERROR(VALUE(TRIM(LEFT(RIGHT(I576,18),11))),"")</f>
        <v/>
      </c>
      <c r="N576" s="13" t="str">
        <f aca="false">IFERROR(VALUE(TRIM(LEFT(RIGHT(M576,18),11))),"")</f>
        <v/>
      </c>
    </row>
    <row r="577" customFormat="false" ht="14.25" hidden="false" customHeight="true" outlineLevel="0" collapsed="false">
      <c r="A577" s="12" t="str">
        <f aca="false">IF(E577="","",E577)</f>
        <v/>
      </c>
      <c r="B577" s="12" t="str">
        <f aca="false">IF(J577="","",J577)</f>
        <v/>
      </c>
      <c r="C577" s="12" t="str">
        <f aca="false">IF(N577="","",N577)</f>
        <v/>
      </c>
      <c r="E577" s="13" t="str">
        <f aca="false">IFERROR(VALUE(TRIM(LEFT(RIGHT(D577,18),11))),"")</f>
        <v/>
      </c>
      <c r="J577" s="13" t="str">
        <f aca="false">IFERROR(VALUE(TRIM(LEFT(RIGHT(I577,18),11))),"")</f>
        <v/>
      </c>
      <c r="N577" s="13" t="str">
        <f aca="false">IFERROR(VALUE(TRIM(LEFT(RIGHT(M577,18),11))),"")</f>
        <v/>
      </c>
    </row>
    <row r="578" customFormat="false" ht="14.25" hidden="false" customHeight="true" outlineLevel="0" collapsed="false">
      <c r="A578" s="12" t="str">
        <f aca="false">IF(E578="","",E578)</f>
        <v/>
      </c>
      <c r="B578" s="12" t="str">
        <f aca="false">IF(J578="","",J578)</f>
        <v/>
      </c>
      <c r="C578" s="12" t="str">
        <f aca="false">IF(N578="","",N578)</f>
        <v/>
      </c>
      <c r="E578" s="13" t="str">
        <f aca="false">IFERROR(VALUE(TRIM(LEFT(RIGHT(D578,18),11))),"")</f>
        <v/>
      </c>
      <c r="J578" s="13" t="str">
        <f aca="false">IFERROR(VALUE(TRIM(LEFT(RIGHT(I578,18),11))),"")</f>
        <v/>
      </c>
      <c r="N578" s="13" t="str">
        <f aca="false">IFERROR(VALUE(TRIM(LEFT(RIGHT(M578,18),11))),"")</f>
        <v/>
      </c>
    </row>
    <row r="579" customFormat="false" ht="14.25" hidden="false" customHeight="true" outlineLevel="0" collapsed="false">
      <c r="A579" s="12" t="str">
        <f aca="false">IF(E579="","",E579)</f>
        <v/>
      </c>
      <c r="B579" s="12" t="str">
        <f aca="false">IF(J579="","",J579)</f>
        <v/>
      </c>
      <c r="C579" s="12" t="str">
        <f aca="false">IF(N579="","",N579)</f>
        <v/>
      </c>
      <c r="E579" s="13" t="str">
        <f aca="false">IFERROR(VALUE(TRIM(LEFT(RIGHT(D579,18),11))),"")</f>
        <v/>
      </c>
      <c r="J579" s="13" t="str">
        <f aca="false">IFERROR(VALUE(TRIM(LEFT(RIGHT(I579,18),11))),"")</f>
        <v/>
      </c>
      <c r="N579" s="13" t="str">
        <f aca="false">IFERROR(VALUE(TRIM(LEFT(RIGHT(M579,18),11))),"")</f>
        <v/>
      </c>
    </row>
    <row r="580" customFormat="false" ht="14.25" hidden="false" customHeight="true" outlineLevel="0" collapsed="false">
      <c r="A580" s="12" t="str">
        <f aca="false">IF(E580="","",E580)</f>
        <v/>
      </c>
      <c r="B580" s="12" t="str">
        <f aca="false">IF(J580="","",J580)</f>
        <v/>
      </c>
      <c r="C580" s="12" t="str">
        <f aca="false">IF(N580="","",N580)</f>
        <v/>
      </c>
      <c r="E580" s="13" t="str">
        <f aca="false">IFERROR(VALUE(TRIM(LEFT(RIGHT(D580,18),11))),"")</f>
        <v/>
      </c>
      <c r="J580" s="13" t="str">
        <f aca="false">IFERROR(VALUE(TRIM(LEFT(RIGHT(I580,18),11))),"")</f>
        <v/>
      </c>
      <c r="N580" s="13" t="str">
        <f aca="false">IFERROR(VALUE(TRIM(LEFT(RIGHT(M580,18),11))),"")</f>
        <v/>
      </c>
    </row>
    <row r="581" customFormat="false" ht="14.25" hidden="false" customHeight="true" outlineLevel="0" collapsed="false">
      <c r="A581" s="12" t="str">
        <f aca="false">IF(E581="","",E581)</f>
        <v/>
      </c>
      <c r="B581" s="12" t="str">
        <f aca="false">IF(J581="","",J581)</f>
        <v/>
      </c>
      <c r="C581" s="12" t="str">
        <f aca="false">IF(N581="","",N581)</f>
        <v/>
      </c>
      <c r="E581" s="13" t="str">
        <f aca="false">IFERROR(VALUE(TRIM(LEFT(RIGHT(D581,18),11))),"")</f>
        <v/>
      </c>
      <c r="J581" s="13" t="str">
        <f aca="false">IFERROR(VALUE(TRIM(LEFT(RIGHT(I581,18),11))),"")</f>
        <v/>
      </c>
      <c r="N581" s="13" t="str">
        <f aca="false">IFERROR(VALUE(TRIM(LEFT(RIGHT(M581,18),11))),"")</f>
        <v/>
      </c>
    </row>
    <row r="582" customFormat="false" ht="14.25" hidden="false" customHeight="true" outlineLevel="0" collapsed="false">
      <c r="A582" s="12" t="str">
        <f aca="false">IF(E582="","",E582)</f>
        <v/>
      </c>
      <c r="B582" s="12" t="str">
        <f aca="false">IF(J582="","",J582)</f>
        <v/>
      </c>
      <c r="C582" s="12" t="str">
        <f aca="false">IF(N582="","",N582)</f>
        <v/>
      </c>
      <c r="E582" s="13" t="str">
        <f aca="false">IFERROR(VALUE(TRIM(LEFT(RIGHT(D582,18),11))),"")</f>
        <v/>
      </c>
      <c r="J582" s="13" t="str">
        <f aca="false">IFERROR(VALUE(TRIM(LEFT(RIGHT(I582,18),11))),"")</f>
        <v/>
      </c>
      <c r="N582" s="13" t="str">
        <f aca="false">IFERROR(VALUE(TRIM(LEFT(RIGHT(M582,18),11))),"")</f>
        <v/>
      </c>
    </row>
    <row r="583" customFormat="false" ht="14.25" hidden="false" customHeight="true" outlineLevel="0" collapsed="false">
      <c r="A583" s="12" t="str">
        <f aca="false">IF(E583="","",E583)</f>
        <v/>
      </c>
      <c r="B583" s="12" t="str">
        <f aca="false">IF(J583="","",J583)</f>
        <v/>
      </c>
      <c r="C583" s="12" t="str">
        <f aca="false">IF(N583="","",N583)</f>
        <v/>
      </c>
      <c r="E583" s="13" t="str">
        <f aca="false">IFERROR(VALUE(TRIM(LEFT(RIGHT(D583,18),11))),"")</f>
        <v/>
      </c>
      <c r="J583" s="13" t="str">
        <f aca="false">IFERROR(VALUE(TRIM(LEFT(RIGHT(I583,18),11))),"")</f>
        <v/>
      </c>
      <c r="N583" s="13" t="str">
        <f aca="false">IFERROR(VALUE(TRIM(LEFT(RIGHT(M583,18),11))),"")</f>
        <v/>
      </c>
    </row>
    <row r="584" customFormat="false" ht="14.25" hidden="false" customHeight="true" outlineLevel="0" collapsed="false">
      <c r="A584" s="12" t="str">
        <f aca="false">IF(E584="","",E584)</f>
        <v/>
      </c>
      <c r="B584" s="12" t="str">
        <f aca="false">IF(J584="","",J584)</f>
        <v/>
      </c>
      <c r="C584" s="12" t="str">
        <f aca="false">IF(N584="","",N584)</f>
        <v/>
      </c>
      <c r="E584" s="13" t="str">
        <f aca="false">IFERROR(VALUE(TRIM(LEFT(RIGHT(D584,18),11))),"")</f>
        <v/>
      </c>
      <c r="J584" s="13" t="str">
        <f aca="false">IFERROR(VALUE(TRIM(LEFT(RIGHT(I584,18),11))),"")</f>
        <v/>
      </c>
      <c r="N584" s="13" t="str">
        <f aca="false">IFERROR(VALUE(TRIM(LEFT(RIGHT(M584,18),11))),"")</f>
        <v/>
      </c>
    </row>
    <row r="585" customFormat="false" ht="14.25" hidden="false" customHeight="true" outlineLevel="0" collapsed="false">
      <c r="A585" s="12" t="str">
        <f aca="false">IF(E585="","",E585)</f>
        <v/>
      </c>
      <c r="B585" s="12" t="str">
        <f aca="false">IF(J585="","",J585)</f>
        <v/>
      </c>
      <c r="C585" s="12" t="str">
        <f aca="false">IF(N585="","",N585)</f>
        <v/>
      </c>
      <c r="E585" s="13" t="str">
        <f aca="false">IFERROR(VALUE(TRIM(LEFT(RIGHT(D585,18),11))),"")</f>
        <v/>
      </c>
      <c r="J585" s="13" t="str">
        <f aca="false">IFERROR(VALUE(TRIM(LEFT(RIGHT(I585,18),11))),"")</f>
        <v/>
      </c>
      <c r="N585" s="13" t="str">
        <f aca="false">IFERROR(VALUE(TRIM(LEFT(RIGHT(M585,18),11))),"")</f>
        <v/>
      </c>
    </row>
    <row r="586" customFormat="false" ht="14.25" hidden="false" customHeight="true" outlineLevel="0" collapsed="false">
      <c r="A586" s="12" t="str">
        <f aca="false">IF(E586="","",E586)</f>
        <v/>
      </c>
      <c r="B586" s="12" t="str">
        <f aca="false">IF(J586="","",J586)</f>
        <v/>
      </c>
      <c r="C586" s="12" t="str">
        <f aca="false">IF(N586="","",N586)</f>
        <v/>
      </c>
      <c r="E586" s="13" t="str">
        <f aca="false">IFERROR(VALUE(TRIM(LEFT(RIGHT(D586,18),11))),"")</f>
        <v/>
      </c>
      <c r="J586" s="13" t="str">
        <f aca="false">IFERROR(VALUE(TRIM(LEFT(RIGHT(I586,18),11))),"")</f>
        <v/>
      </c>
      <c r="N586" s="13" t="str">
        <f aca="false">IFERROR(VALUE(TRIM(LEFT(RIGHT(M586,18),11))),"")</f>
        <v/>
      </c>
    </row>
    <row r="587" customFormat="false" ht="14.25" hidden="false" customHeight="true" outlineLevel="0" collapsed="false">
      <c r="A587" s="12" t="str">
        <f aca="false">IF(E587="","",E587)</f>
        <v/>
      </c>
      <c r="B587" s="12" t="str">
        <f aca="false">IF(J587="","",J587)</f>
        <v/>
      </c>
      <c r="C587" s="12" t="str">
        <f aca="false">IF(N587="","",N587)</f>
        <v/>
      </c>
      <c r="E587" s="13" t="str">
        <f aca="false">IFERROR(VALUE(TRIM(LEFT(RIGHT(D587,18),11))),"")</f>
        <v/>
      </c>
      <c r="J587" s="13" t="str">
        <f aca="false">IFERROR(VALUE(TRIM(LEFT(RIGHT(I587,18),11))),"")</f>
        <v/>
      </c>
      <c r="N587" s="13" t="str">
        <f aca="false">IFERROR(VALUE(TRIM(LEFT(RIGHT(M587,18),11))),"")</f>
        <v/>
      </c>
    </row>
    <row r="588" customFormat="false" ht="14.25" hidden="false" customHeight="true" outlineLevel="0" collapsed="false">
      <c r="A588" s="12" t="str">
        <f aca="false">IF(E588="","",E588)</f>
        <v/>
      </c>
      <c r="B588" s="12" t="str">
        <f aca="false">IF(J588="","",J588)</f>
        <v/>
      </c>
      <c r="C588" s="12" t="str">
        <f aca="false">IF(N588="","",N588)</f>
        <v/>
      </c>
      <c r="E588" s="13" t="str">
        <f aca="false">IFERROR(VALUE(TRIM(LEFT(RIGHT(D588,18),11))),"")</f>
        <v/>
      </c>
      <c r="J588" s="13" t="str">
        <f aca="false">IFERROR(VALUE(TRIM(LEFT(RIGHT(I588,18),11))),"")</f>
        <v/>
      </c>
      <c r="N588" s="13" t="str">
        <f aca="false">IFERROR(VALUE(TRIM(LEFT(RIGHT(M588,18),11))),"")</f>
        <v/>
      </c>
    </row>
    <row r="589" customFormat="false" ht="14.25" hidden="false" customHeight="true" outlineLevel="0" collapsed="false">
      <c r="A589" s="12" t="str">
        <f aca="false">IF(E589="","",E589)</f>
        <v/>
      </c>
      <c r="B589" s="12" t="str">
        <f aca="false">IF(J589="","",J589)</f>
        <v/>
      </c>
      <c r="C589" s="12" t="str">
        <f aca="false">IF(N589="","",N589)</f>
        <v/>
      </c>
      <c r="E589" s="13" t="str">
        <f aca="false">IFERROR(VALUE(TRIM(LEFT(RIGHT(D589,18),11))),"")</f>
        <v/>
      </c>
      <c r="J589" s="13" t="str">
        <f aca="false">IFERROR(VALUE(TRIM(LEFT(RIGHT(I589,18),11))),"")</f>
        <v/>
      </c>
      <c r="N589" s="13" t="str">
        <f aca="false">IFERROR(VALUE(TRIM(LEFT(RIGHT(M589,18),11))),"")</f>
        <v/>
      </c>
    </row>
    <row r="590" customFormat="false" ht="14.25" hidden="false" customHeight="true" outlineLevel="0" collapsed="false">
      <c r="A590" s="12" t="str">
        <f aca="false">IF(E590="","",E590)</f>
        <v/>
      </c>
      <c r="B590" s="12" t="str">
        <f aca="false">IF(J590="","",J590)</f>
        <v/>
      </c>
      <c r="C590" s="12" t="str">
        <f aca="false">IF(N590="","",N590)</f>
        <v/>
      </c>
      <c r="E590" s="13" t="str">
        <f aca="false">IFERROR(VALUE(TRIM(LEFT(RIGHT(D590,18),11))),"")</f>
        <v/>
      </c>
      <c r="J590" s="13" t="str">
        <f aca="false">IFERROR(VALUE(TRIM(LEFT(RIGHT(I590,18),11))),"")</f>
        <v/>
      </c>
      <c r="N590" s="13" t="str">
        <f aca="false">IFERROR(VALUE(TRIM(LEFT(RIGHT(M590,18),11))),"")</f>
        <v/>
      </c>
    </row>
    <row r="591" customFormat="false" ht="14.25" hidden="false" customHeight="true" outlineLevel="0" collapsed="false">
      <c r="A591" s="12" t="str">
        <f aca="false">IF(E591="","",E591)</f>
        <v/>
      </c>
      <c r="B591" s="12" t="str">
        <f aca="false">IF(J591="","",J591)</f>
        <v/>
      </c>
      <c r="C591" s="12" t="str">
        <f aca="false">IF(N591="","",N591)</f>
        <v/>
      </c>
      <c r="E591" s="13" t="str">
        <f aca="false">IFERROR(VALUE(TRIM(LEFT(RIGHT(D591,18),11))),"")</f>
        <v/>
      </c>
      <c r="J591" s="13" t="str">
        <f aca="false">IFERROR(VALUE(TRIM(LEFT(RIGHT(I591,18),11))),"")</f>
        <v/>
      </c>
      <c r="N591" s="13" t="str">
        <f aca="false">IFERROR(VALUE(TRIM(LEFT(RIGHT(M591,18),11))),"")</f>
        <v/>
      </c>
    </row>
    <row r="592" customFormat="false" ht="14.25" hidden="false" customHeight="true" outlineLevel="0" collapsed="false">
      <c r="A592" s="12" t="str">
        <f aca="false">IF(E592="","",E592)</f>
        <v/>
      </c>
      <c r="B592" s="12" t="str">
        <f aca="false">IF(J592="","",J592)</f>
        <v/>
      </c>
      <c r="C592" s="12" t="str">
        <f aca="false">IF(N592="","",N592)</f>
        <v/>
      </c>
      <c r="E592" s="13" t="str">
        <f aca="false">IFERROR(VALUE(TRIM(LEFT(RIGHT(D592,18),11))),"")</f>
        <v/>
      </c>
      <c r="J592" s="13" t="str">
        <f aca="false">IFERROR(VALUE(TRIM(LEFT(RIGHT(I592,18),11))),"")</f>
        <v/>
      </c>
      <c r="N592" s="13" t="str">
        <f aca="false">IFERROR(VALUE(TRIM(LEFT(RIGHT(M592,18),11))),"")</f>
        <v/>
      </c>
    </row>
    <row r="593" customFormat="false" ht="14.25" hidden="false" customHeight="true" outlineLevel="0" collapsed="false">
      <c r="A593" s="12" t="str">
        <f aca="false">IF(E593="","",E593)</f>
        <v/>
      </c>
      <c r="B593" s="12" t="str">
        <f aca="false">IF(J593="","",J593)</f>
        <v/>
      </c>
      <c r="C593" s="12" t="str">
        <f aca="false">IF(N593="","",N593)</f>
        <v/>
      </c>
      <c r="E593" s="13" t="str">
        <f aca="false">IFERROR(VALUE(TRIM(LEFT(RIGHT(D593,18),11))),"")</f>
        <v/>
      </c>
      <c r="J593" s="13" t="str">
        <f aca="false">IFERROR(VALUE(TRIM(LEFT(RIGHT(I593,18),11))),"")</f>
        <v/>
      </c>
      <c r="N593" s="13" t="str">
        <f aca="false">IFERROR(VALUE(TRIM(LEFT(RIGHT(M593,18),11))),"")</f>
        <v/>
      </c>
    </row>
    <row r="594" customFormat="false" ht="14.25" hidden="false" customHeight="true" outlineLevel="0" collapsed="false">
      <c r="A594" s="12" t="str">
        <f aca="false">IF(E594="","",E594)</f>
        <v/>
      </c>
      <c r="B594" s="12" t="str">
        <f aca="false">IF(J594="","",J594)</f>
        <v/>
      </c>
      <c r="C594" s="12" t="str">
        <f aca="false">IF(N594="","",N594)</f>
        <v/>
      </c>
      <c r="E594" s="13" t="str">
        <f aca="false">IFERROR(VALUE(TRIM(LEFT(RIGHT(D594,18),11))),"")</f>
        <v/>
      </c>
      <c r="J594" s="13" t="str">
        <f aca="false">IFERROR(VALUE(TRIM(LEFT(RIGHT(I594,18),11))),"")</f>
        <v/>
      </c>
      <c r="N594" s="13" t="str">
        <f aca="false">IFERROR(VALUE(TRIM(LEFT(RIGHT(M594,18),11))),"")</f>
        <v/>
      </c>
    </row>
    <row r="595" customFormat="false" ht="14.25" hidden="false" customHeight="true" outlineLevel="0" collapsed="false">
      <c r="A595" s="12" t="str">
        <f aca="false">IF(E595="","",E595)</f>
        <v/>
      </c>
      <c r="B595" s="12" t="str">
        <f aca="false">IF(J595="","",J595)</f>
        <v/>
      </c>
      <c r="C595" s="12" t="str">
        <f aca="false">IF(N595="","",N595)</f>
        <v/>
      </c>
      <c r="E595" s="13" t="str">
        <f aca="false">IFERROR(VALUE(TRIM(LEFT(RIGHT(D595,18),11))),"")</f>
        <v/>
      </c>
      <c r="J595" s="13" t="str">
        <f aca="false">IFERROR(VALUE(TRIM(LEFT(RIGHT(I595,18),11))),"")</f>
        <v/>
      </c>
      <c r="N595" s="13" t="str">
        <f aca="false">IFERROR(VALUE(TRIM(LEFT(RIGHT(M595,18),11))),"")</f>
        <v/>
      </c>
    </row>
    <row r="596" customFormat="false" ht="14.25" hidden="false" customHeight="true" outlineLevel="0" collapsed="false">
      <c r="A596" s="12" t="str">
        <f aca="false">IF(E596="","",E596)</f>
        <v/>
      </c>
      <c r="B596" s="12" t="str">
        <f aca="false">IF(J596="","",J596)</f>
        <v/>
      </c>
      <c r="C596" s="12" t="str">
        <f aca="false">IF(N596="","",N596)</f>
        <v/>
      </c>
      <c r="E596" s="13" t="str">
        <f aca="false">IFERROR(VALUE(TRIM(LEFT(RIGHT(D596,18),11))),"")</f>
        <v/>
      </c>
      <c r="J596" s="13" t="str">
        <f aca="false">IFERROR(VALUE(TRIM(LEFT(RIGHT(I596,18),11))),"")</f>
        <v/>
      </c>
      <c r="N596" s="13" t="str">
        <f aca="false">IFERROR(VALUE(TRIM(LEFT(RIGHT(M596,18),11))),"")</f>
        <v/>
      </c>
    </row>
    <row r="597" customFormat="false" ht="14.25" hidden="false" customHeight="true" outlineLevel="0" collapsed="false">
      <c r="A597" s="12" t="str">
        <f aca="false">IF(E597="","",E597)</f>
        <v/>
      </c>
      <c r="B597" s="12" t="str">
        <f aca="false">IF(J597="","",J597)</f>
        <v/>
      </c>
      <c r="C597" s="12" t="str">
        <f aca="false">IF(N597="","",N597)</f>
        <v/>
      </c>
      <c r="E597" s="13" t="str">
        <f aca="false">IFERROR(VALUE(TRIM(LEFT(RIGHT(D597,18),11))),"")</f>
        <v/>
      </c>
      <c r="J597" s="13" t="str">
        <f aca="false">IFERROR(VALUE(TRIM(LEFT(RIGHT(I597,18),11))),"")</f>
        <v/>
      </c>
      <c r="N597" s="13" t="str">
        <f aca="false">IFERROR(VALUE(TRIM(LEFT(RIGHT(M597,18),11))),"")</f>
        <v/>
      </c>
    </row>
    <row r="598" customFormat="false" ht="14.25" hidden="false" customHeight="true" outlineLevel="0" collapsed="false">
      <c r="A598" s="12" t="str">
        <f aca="false">IF(E598="","",E598)</f>
        <v/>
      </c>
      <c r="B598" s="12" t="str">
        <f aca="false">IF(J598="","",J598)</f>
        <v/>
      </c>
      <c r="C598" s="12" t="str">
        <f aca="false">IF(N598="","",N598)</f>
        <v/>
      </c>
      <c r="E598" s="13" t="str">
        <f aca="false">IFERROR(VALUE(TRIM(LEFT(RIGHT(D598,18),11))),"")</f>
        <v/>
      </c>
      <c r="J598" s="13" t="str">
        <f aca="false">IFERROR(VALUE(TRIM(LEFT(RIGHT(I598,18),11))),"")</f>
        <v/>
      </c>
      <c r="N598" s="13" t="str">
        <f aca="false">IFERROR(VALUE(TRIM(LEFT(RIGHT(M598,18),11))),"")</f>
        <v/>
      </c>
    </row>
    <row r="599" customFormat="false" ht="14.25" hidden="false" customHeight="true" outlineLevel="0" collapsed="false">
      <c r="A599" s="12" t="str">
        <f aca="false">IF(E599="","",E599)</f>
        <v/>
      </c>
      <c r="B599" s="12" t="str">
        <f aca="false">IF(J599="","",J599)</f>
        <v/>
      </c>
      <c r="C599" s="12" t="str">
        <f aca="false">IF(N599="","",N599)</f>
        <v/>
      </c>
      <c r="E599" s="13" t="str">
        <f aca="false">IFERROR(VALUE(TRIM(LEFT(RIGHT(D599,18),11))),"")</f>
        <v/>
      </c>
      <c r="J599" s="13" t="str">
        <f aca="false">IFERROR(VALUE(TRIM(LEFT(RIGHT(I599,18),11))),"")</f>
        <v/>
      </c>
      <c r="N599" s="13" t="str">
        <f aca="false">IFERROR(VALUE(TRIM(LEFT(RIGHT(M599,18),11))),"")</f>
        <v/>
      </c>
    </row>
    <row r="600" customFormat="false" ht="14.25" hidden="false" customHeight="true" outlineLevel="0" collapsed="false">
      <c r="A600" s="12" t="str">
        <f aca="false">IF(E600="","",E600)</f>
        <v/>
      </c>
      <c r="B600" s="12" t="str">
        <f aca="false">IF(J600="","",J600)</f>
        <v/>
      </c>
      <c r="C600" s="12" t="str">
        <f aca="false">IF(N600="","",N600)</f>
        <v/>
      </c>
      <c r="E600" s="13" t="str">
        <f aca="false">IFERROR(VALUE(TRIM(LEFT(RIGHT(D600,18),11))),"")</f>
        <v/>
      </c>
      <c r="J600" s="13" t="str">
        <f aca="false">IFERROR(VALUE(TRIM(LEFT(RIGHT(I600,18),11))),"")</f>
        <v/>
      </c>
      <c r="N600" s="13" t="str">
        <f aca="false">IFERROR(VALUE(TRIM(LEFT(RIGHT(M600,18),11))),"")</f>
        <v/>
      </c>
    </row>
    <row r="601" customFormat="false" ht="14.25" hidden="false" customHeight="true" outlineLevel="0" collapsed="false">
      <c r="A601" s="12" t="str">
        <f aca="false">IF(E601="","",E601)</f>
        <v/>
      </c>
      <c r="B601" s="12" t="str">
        <f aca="false">IF(J601="","",J601)</f>
        <v/>
      </c>
      <c r="C601" s="12" t="str">
        <f aca="false">IF(N601="","",N601)</f>
        <v/>
      </c>
      <c r="E601" s="13" t="str">
        <f aca="false">IFERROR(VALUE(TRIM(LEFT(RIGHT(D601,18),11))),"")</f>
        <v/>
      </c>
      <c r="J601" s="13" t="str">
        <f aca="false">IFERROR(VALUE(TRIM(LEFT(RIGHT(I601,18),11))),"")</f>
        <v/>
      </c>
      <c r="N601" s="13" t="str">
        <f aca="false">IFERROR(VALUE(TRIM(LEFT(RIGHT(M601,18),11))),"")</f>
        <v/>
      </c>
    </row>
    <row r="602" customFormat="false" ht="14.25" hidden="false" customHeight="true" outlineLevel="0" collapsed="false">
      <c r="A602" s="12" t="str">
        <f aca="false">IF(E602="","",E602)</f>
        <v/>
      </c>
      <c r="B602" s="12" t="str">
        <f aca="false">IF(J602="","",J602)</f>
        <v/>
      </c>
      <c r="C602" s="12" t="str">
        <f aca="false">IF(N602="","",N602)</f>
        <v/>
      </c>
      <c r="E602" s="13" t="str">
        <f aca="false">IFERROR(VALUE(TRIM(LEFT(RIGHT(D602,18),11))),"")</f>
        <v/>
      </c>
      <c r="J602" s="13" t="str">
        <f aca="false">IFERROR(VALUE(TRIM(LEFT(RIGHT(I602,18),11))),"")</f>
        <v/>
      </c>
      <c r="N602" s="13" t="str">
        <f aca="false">IFERROR(VALUE(TRIM(LEFT(RIGHT(M602,18),11))),"")</f>
        <v/>
      </c>
    </row>
    <row r="603" customFormat="false" ht="14.25" hidden="false" customHeight="true" outlineLevel="0" collapsed="false">
      <c r="A603" s="12" t="str">
        <f aca="false">IF(E603="","",E603)</f>
        <v/>
      </c>
      <c r="B603" s="12" t="str">
        <f aca="false">IF(J603="","",J603)</f>
        <v/>
      </c>
      <c r="C603" s="12" t="str">
        <f aca="false">IF(N603="","",N603)</f>
        <v/>
      </c>
      <c r="E603" s="13" t="str">
        <f aca="false">IFERROR(VALUE(TRIM(LEFT(RIGHT(D603,18),11))),"")</f>
        <v/>
      </c>
      <c r="J603" s="13" t="str">
        <f aca="false">IFERROR(VALUE(TRIM(LEFT(RIGHT(I603,18),11))),"")</f>
        <v/>
      </c>
      <c r="N603" s="13" t="str">
        <f aca="false">IFERROR(VALUE(TRIM(LEFT(RIGHT(M603,18),11))),"")</f>
        <v/>
      </c>
    </row>
    <row r="604" customFormat="false" ht="14.25" hidden="false" customHeight="true" outlineLevel="0" collapsed="false">
      <c r="A604" s="12" t="str">
        <f aca="false">IF(E604="","",E604)</f>
        <v/>
      </c>
      <c r="B604" s="12" t="str">
        <f aca="false">IF(J604="","",J604)</f>
        <v/>
      </c>
      <c r="C604" s="12" t="str">
        <f aca="false">IF(N604="","",N604)</f>
        <v/>
      </c>
      <c r="E604" s="13" t="str">
        <f aca="false">IFERROR(VALUE(TRIM(LEFT(RIGHT(D604,18),11))),"")</f>
        <v/>
      </c>
      <c r="J604" s="13" t="str">
        <f aca="false">IFERROR(VALUE(TRIM(LEFT(RIGHT(I604,18),11))),"")</f>
        <v/>
      </c>
      <c r="N604" s="13" t="str">
        <f aca="false">IFERROR(VALUE(TRIM(LEFT(RIGHT(M604,18),11))),"")</f>
        <v/>
      </c>
    </row>
    <row r="605" customFormat="false" ht="14.25" hidden="false" customHeight="true" outlineLevel="0" collapsed="false">
      <c r="A605" s="12" t="str">
        <f aca="false">IF(E605="","",E605)</f>
        <v/>
      </c>
      <c r="B605" s="12" t="str">
        <f aca="false">IF(J605="","",J605)</f>
        <v/>
      </c>
      <c r="C605" s="12" t="str">
        <f aca="false">IF(N605="","",N605)</f>
        <v/>
      </c>
      <c r="E605" s="13" t="str">
        <f aca="false">IFERROR(VALUE(TRIM(LEFT(RIGHT(D605,18),11))),"")</f>
        <v/>
      </c>
      <c r="J605" s="13" t="str">
        <f aca="false">IFERROR(VALUE(TRIM(LEFT(RIGHT(I605,18),11))),"")</f>
        <v/>
      </c>
      <c r="N605" s="13" t="str">
        <f aca="false">IFERROR(VALUE(TRIM(LEFT(RIGHT(M605,18),11))),"")</f>
        <v/>
      </c>
    </row>
    <row r="606" customFormat="false" ht="14.25" hidden="false" customHeight="true" outlineLevel="0" collapsed="false">
      <c r="A606" s="12" t="str">
        <f aca="false">IF(E606="","",E606)</f>
        <v/>
      </c>
      <c r="B606" s="12" t="str">
        <f aca="false">IF(J606="","",J606)</f>
        <v/>
      </c>
      <c r="C606" s="12" t="str">
        <f aca="false">IF(N606="","",N606)</f>
        <v/>
      </c>
      <c r="E606" s="13" t="str">
        <f aca="false">IFERROR(VALUE(TRIM(LEFT(RIGHT(D606,18),11))),"")</f>
        <v/>
      </c>
      <c r="J606" s="13" t="str">
        <f aca="false">IFERROR(VALUE(TRIM(LEFT(RIGHT(I606,18),11))),"")</f>
        <v/>
      </c>
      <c r="N606" s="13" t="str">
        <f aca="false">IFERROR(VALUE(TRIM(LEFT(RIGHT(M606,18),11))),"")</f>
        <v/>
      </c>
    </row>
    <row r="607" customFormat="false" ht="14.25" hidden="false" customHeight="true" outlineLevel="0" collapsed="false">
      <c r="A607" s="12" t="str">
        <f aca="false">IF(E607="","",E607)</f>
        <v/>
      </c>
      <c r="B607" s="12" t="str">
        <f aca="false">IF(J607="","",J607)</f>
        <v/>
      </c>
      <c r="C607" s="12" t="str">
        <f aca="false">IF(N607="","",N607)</f>
        <v/>
      </c>
      <c r="E607" s="13" t="str">
        <f aca="false">IFERROR(VALUE(TRIM(LEFT(RIGHT(D607,18),11))),"")</f>
        <v/>
      </c>
      <c r="J607" s="13" t="str">
        <f aca="false">IFERROR(VALUE(TRIM(LEFT(RIGHT(I607,18),11))),"")</f>
        <v/>
      </c>
      <c r="N607" s="13" t="str">
        <f aca="false">IFERROR(VALUE(TRIM(LEFT(RIGHT(M607,18),11))),"")</f>
        <v/>
      </c>
    </row>
    <row r="608" customFormat="false" ht="14.25" hidden="false" customHeight="true" outlineLevel="0" collapsed="false">
      <c r="A608" s="12" t="str">
        <f aca="false">IF(E608="","",E608)</f>
        <v/>
      </c>
      <c r="B608" s="12" t="str">
        <f aca="false">IF(J608="","",J608)</f>
        <v/>
      </c>
      <c r="C608" s="12" t="str">
        <f aca="false">IF(N608="","",N608)</f>
        <v/>
      </c>
      <c r="E608" s="13" t="str">
        <f aca="false">IFERROR(VALUE(TRIM(LEFT(RIGHT(D608,18),11))),"")</f>
        <v/>
      </c>
      <c r="J608" s="13" t="str">
        <f aca="false">IFERROR(VALUE(TRIM(LEFT(RIGHT(I608,18),11))),"")</f>
        <v/>
      </c>
      <c r="N608" s="13" t="str">
        <f aca="false">IFERROR(VALUE(TRIM(LEFT(RIGHT(M608,18),11))),"")</f>
        <v/>
      </c>
    </row>
    <row r="609" customFormat="false" ht="14.25" hidden="false" customHeight="true" outlineLevel="0" collapsed="false">
      <c r="A609" s="12" t="str">
        <f aca="false">IF(E609="","",E609)</f>
        <v/>
      </c>
      <c r="B609" s="12" t="str">
        <f aca="false">IF(J609="","",J609)</f>
        <v/>
      </c>
      <c r="C609" s="12" t="str">
        <f aca="false">IF(N609="","",N609)</f>
        <v/>
      </c>
      <c r="E609" s="13" t="str">
        <f aca="false">IFERROR(VALUE(TRIM(LEFT(RIGHT(D609,18),11))),"")</f>
        <v/>
      </c>
      <c r="J609" s="13" t="str">
        <f aca="false">IFERROR(VALUE(TRIM(LEFT(RIGHT(I609,18),11))),"")</f>
        <v/>
      </c>
      <c r="N609" s="13" t="str">
        <f aca="false">IFERROR(VALUE(TRIM(LEFT(RIGHT(M609,18),11))),"")</f>
        <v/>
      </c>
    </row>
    <row r="610" customFormat="false" ht="14.25" hidden="false" customHeight="true" outlineLevel="0" collapsed="false">
      <c r="A610" s="12" t="str">
        <f aca="false">IF(E610="","",E610)</f>
        <v/>
      </c>
      <c r="B610" s="12" t="str">
        <f aca="false">IF(J610="","",J610)</f>
        <v/>
      </c>
      <c r="C610" s="12" t="str">
        <f aca="false">IF(N610="","",N610)</f>
        <v/>
      </c>
      <c r="E610" s="13" t="str">
        <f aca="false">IFERROR(VALUE(TRIM(LEFT(RIGHT(D610,18),11))),"")</f>
        <v/>
      </c>
      <c r="J610" s="13" t="str">
        <f aca="false">IFERROR(VALUE(TRIM(LEFT(RIGHT(I610,18),11))),"")</f>
        <v/>
      </c>
      <c r="N610" s="13" t="str">
        <f aca="false">IFERROR(VALUE(TRIM(LEFT(RIGHT(M610,18),11))),"")</f>
        <v/>
      </c>
    </row>
    <row r="611" customFormat="false" ht="14.25" hidden="false" customHeight="true" outlineLevel="0" collapsed="false">
      <c r="A611" s="12" t="str">
        <f aca="false">IF(E611="","",E611)</f>
        <v/>
      </c>
      <c r="B611" s="12" t="str">
        <f aca="false">IF(J611="","",J611)</f>
        <v/>
      </c>
      <c r="C611" s="12" t="str">
        <f aca="false">IF(N611="","",N611)</f>
        <v/>
      </c>
      <c r="E611" s="13" t="str">
        <f aca="false">IFERROR(VALUE(TRIM(LEFT(RIGHT(D611,18),11))),"")</f>
        <v/>
      </c>
      <c r="J611" s="13" t="str">
        <f aca="false">IFERROR(VALUE(TRIM(LEFT(RIGHT(I611,18),11))),"")</f>
        <v/>
      </c>
      <c r="N611" s="13" t="str">
        <f aca="false">IFERROR(VALUE(TRIM(LEFT(RIGHT(M611,18),11))),"")</f>
        <v/>
      </c>
    </row>
    <row r="612" customFormat="false" ht="14.25" hidden="false" customHeight="true" outlineLevel="0" collapsed="false">
      <c r="A612" s="12" t="str">
        <f aca="false">IF(E612="","",E612)</f>
        <v/>
      </c>
      <c r="B612" s="12" t="str">
        <f aca="false">IF(J612="","",J612)</f>
        <v/>
      </c>
      <c r="C612" s="12" t="str">
        <f aca="false">IF(N612="","",N612)</f>
        <v/>
      </c>
      <c r="E612" s="13" t="str">
        <f aca="false">IFERROR(VALUE(TRIM(LEFT(RIGHT(D612,18),11))),"")</f>
        <v/>
      </c>
      <c r="J612" s="13" t="str">
        <f aca="false">IFERROR(VALUE(TRIM(LEFT(RIGHT(I612,18),11))),"")</f>
        <v/>
      </c>
      <c r="N612" s="13" t="str">
        <f aca="false">IFERROR(VALUE(TRIM(LEFT(RIGHT(M612,18),11))),"")</f>
        <v/>
      </c>
    </row>
    <row r="613" customFormat="false" ht="14.25" hidden="false" customHeight="true" outlineLevel="0" collapsed="false">
      <c r="A613" s="12" t="str">
        <f aca="false">IF(E613="","",E613)</f>
        <v/>
      </c>
      <c r="B613" s="12" t="str">
        <f aca="false">IF(J613="","",J613)</f>
        <v/>
      </c>
      <c r="C613" s="12" t="str">
        <f aca="false">IF(N613="","",N613)</f>
        <v/>
      </c>
      <c r="E613" s="13" t="str">
        <f aca="false">IFERROR(VALUE(TRIM(LEFT(RIGHT(D613,18),11))),"")</f>
        <v/>
      </c>
      <c r="J613" s="13" t="str">
        <f aca="false">IFERROR(VALUE(TRIM(LEFT(RIGHT(I613,18),11))),"")</f>
        <v/>
      </c>
      <c r="N613" s="13" t="str">
        <f aca="false">IFERROR(VALUE(TRIM(LEFT(RIGHT(M613,18),11))),"")</f>
        <v/>
      </c>
    </row>
    <row r="614" customFormat="false" ht="14.25" hidden="false" customHeight="true" outlineLevel="0" collapsed="false">
      <c r="A614" s="12" t="str">
        <f aca="false">IF(E614="","",E614)</f>
        <v/>
      </c>
      <c r="B614" s="12" t="str">
        <f aca="false">IF(J614="","",J614)</f>
        <v/>
      </c>
      <c r="C614" s="12" t="str">
        <f aca="false">IF(N614="","",N614)</f>
        <v/>
      </c>
      <c r="E614" s="13" t="str">
        <f aca="false">IFERROR(VALUE(TRIM(LEFT(RIGHT(D614,18),11))),"")</f>
        <v/>
      </c>
      <c r="J614" s="13" t="str">
        <f aca="false">IFERROR(VALUE(TRIM(LEFT(RIGHT(I614,18),11))),"")</f>
        <v/>
      </c>
      <c r="N614" s="13" t="str">
        <f aca="false">IFERROR(VALUE(TRIM(LEFT(RIGHT(M614,18),11))),"")</f>
        <v/>
      </c>
    </row>
    <row r="615" customFormat="false" ht="14.25" hidden="false" customHeight="true" outlineLevel="0" collapsed="false">
      <c r="A615" s="12" t="str">
        <f aca="false">IF(E615="","",E615)</f>
        <v/>
      </c>
      <c r="B615" s="12" t="str">
        <f aca="false">IF(J615="","",J615)</f>
        <v/>
      </c>
      <c r="C615" s="12" t="str">
        <f aca="false">IF(N615="","",N615)</f>
        <v/>
      </c>
      <c r="E615" s="13" t="str">
        <f aca="false">IFERROR(VALUE(TRIM(LEFT(RIGHT(D615,18),11))),"")</f>
        <v/>
      </c>
      <c r="J615" s="13" t="str">
        <f aca="false">IFERROR(VALUE(TRIM(LEFT(RIGHT(I615,18),11))),"")</f>
        <v/>
      </c>
      <c r="N615" s="13" t="str">
        <f aca="false">IFERROR(VALUE(TRIM(LEFT(RIGHT(M615,18),11))),"")</f>
        <v/>
      </c>
    </row>
    <row r="616" customFormat="false" ht="14.25" hidden="false" customHeight="true" outlineLevel="0" collapsed="false">
      <c r="A616" s="12" t="str">
        <f aca="false">IF(E616="","",E616)</f>
        <v/>
      </c>
      <c r="B616" s="12" t="str">
        <f aca="false">IF(J616="","",J616)</f>
        <v/>
      </c>
      <c r="C616" s="12" t="str">
        <f aca="false">IF(N616="","",N616)</f>
        <v/>
      </c>
      <c r="E616" s="13" t="str">
        <f aca="false">IFERROR(VALUE(TRIM(LEFT(RIGHT(D616,18),11))),"")</f>
        <v/>
      </c>
      <c r="J616" s="13" t="str">
        <f aca="false">IFERROR(VALUE(TRIM(LEFT(RIGHT(I616,18),11))),"")</f>
        <v/>
      </c>
      <c r="N616" s="13" t="str">
        <f aca="false">IFERROR(VALUE(TRIM(LEFT(RIGHT(M616,18),11))),"")</f>
        <v/>
      </c>
    </row>
    <row r="617" customFormat="false" ht="14.25" hidden="false" customHeight="true" outlineLevel="0" collapsed="false">
      <c r="A617" s="12" t="str">
        <f aca="false">IF(E617="","",E617)</f>
        <v/>
      </c>
      <c r="B617" s="12" t="str">
        <f aca="false">IF(J617="","",J617)</f>
        <v/>
      </c>
      <c r="C617" s="12" t="str">
        <f aca="false">IF(N617="","",N617)</f>
        <v/>
      </c>
      <c r="E617" s="13" t="str">
        <f aca="false">IFERROR(VALUE(TRIM(LEFT(RIGHT(D617,18),11))),"")</f>
        <v/>
      </c>
      <c r="J617" s="13" t="str">
        <f aca="false">IFERROR(VALUE(TRIM(LEFT(RIGHT(I617,18),11))),"")</f>
        <v/>
      </c>
      <c r="N617" s="13" t="str">
        <f aca="false">IFERROR(VALUE(TRIM(LEFT(RIGHT(M617,18),11))),"")</f>
        <v/>
      </c>
    </row>
    <row r="618" customFormat="false" ht="14.25" hidden="false" customHeight="true" outlineLevel="0" collapsed="false">
      <c r="A618" s="12" t="str">
        <f aca="false">IF(E618="","",E618)</f>
        <v/>
      </c>
      <c r="B618" s="12" t="str">
        <f aca="false">IF(J618="","",J618)</f>
        <v/>
      </c>
      <c r="C618" s="12" t="str">
        <f aca="false">IF(N618="","",N618)</f>
        <v/>
      </c>
      <c r="E618" s="13" t="str">
        <f aca="false">IFERROR(VALUE(TRIM(LEFT(RIGHT(D618,18),11))),"")</f>
        <v/>
      </c>
      <c r="J618" s="13" t="str">
        <f aca="false">IFERROR(VALUE(TRIM(LEFT(RIGHT(I618,18),11))),"")</f>
        <v/>
      </c>
      <c r="N618" s="13" t="str">
        <f aca="false">IFERROR(VALUE(TRIM(LEFT(RIGHT(M618,18),11))),"")</f>
        <v/>
      </c>
    </row>
    <row r="619" customFormat="false" ht="14.25" hidden="false" customHeight="true" outlineLevel="0" collapsed="false">
      <c r="A619" s="12" t="str">
        <f aca="false">IF(E619="","",E619)</f>
        <v/>
      </c>
      <c r="B619" s="12" t="str">
        <f aca="false">IF(J619="","",J619)</f>
        <v/>
      </c>
      <c r="C619" s="12" t="str">
        <f aca="false">IF(N619="","",N619)</f>
        <v/>
      </c>
      <c r="E619" s="13" t="str">
        <f aca="false">IFERROR(VALUE(TRIM(LEFT(RIGHT(D619,18),11))),"")</f>
        <v/>
      </c>
      <c r="J619" s="13" t="str">
        <f aca="false">IFERROR(VALUE(TRIM(LEFT(RIGHT(I619,18),11))),"")</f>
        <v/>
      </c>
      <c r="N619" s="13" t="str">
        <f aca="false">IFERROR(VALUE(TRIM(LEFT(RIGHT(M619,18),11))),"")</f>
        <v/>
      </c>
    </row>
    <row r="620" customFormat="false" ht="14.25" hidden="false" customHeight="true" outlineLevel="0" collapsed="false">
      <c r="A620" s="12" t="str">
        <f aca="false">IF(E620="","",E620)</f>
        <v/>
      </c>
      <c r="B620" s="12" t="str">
        <f aca="false">IF(J620="","",J620)</f>
        <v/>
      </c>
      <c r="C620" s="12" t="str">
        <f aca="false">IF(N620="","",N620)</f>
        <v/>
      </c>
      <c r="E620" s="13" t="str">
        <f aca="false">IFERROR(VALUE(TRIM(LEFT(RIGHT(D620,18),11))),"")</f>
        <v/>
      </c>
      <c r="J620" s="13" t="str">
        <f aca="false">IFERROR(VALUE(TRIM(LEFT(RIGHT(I620,18),11))),"")</f>
        <v/>
      </c>
      <c r="N620" s="13" t="str">
        <f aca="false">IFERROR(VALUE(TRIM(LEFT(RIGHT(M620,18),11))),"")</f>
        <v/>
      </c>
    </row>
    <row r="621" customFormat="false" ht="14.25" hidden="false" customHeight="true" outlineLevel="0" collapsed="false">
      <c r="A621" s="12" t="str">
        <f aca="false">IF(E621="","",E621)</f>
        <v/>
      </c>
      <c r="B621" s="12" t="str">
        <f aca="false">IF(J621="","",J621)</f>
        <v/>
      </c>
      <c r="C621" s="12" t="str">
        <f aca="false">IF(N621="","",N621)</f>
        <v/>
      </c>
      <c r="E621" s="13" t="str">
        <f aca="false">IFERROR(VALUE(TRIM(LEFT(RIGHT(D621,18),11))),"")</f>
        <v/>
      </c>
      <c r="J621" s="13" t="str">
        <f aca="false">IFERROR(VALUE(TRIM(LEFT(RIGHT(I621,18),11))),"")</f>
        <v/>
      </c>
      <c r="N621" s="13" t="str">
        <f aca="false">IFERROR(VALUE(TRIM(LEFT(RIGHT(M621,18),11))),"")</f>
        <v/>
      </c>
    </row>
    <row r="622" customFormat="false" ht="14.25" hidden="false" customHeight="true" outlineLevel="0" collapsed="false">
      <c r="A622" s="12" t="str">
        <f aca="false">IF(E622="","",E622)</f>
        <v/>
      </c>
      <c r="B622" s="12" t="str">
        <f aca="false">IF(J622="","",J622)</f>
        <v/>
      </c>
      <c r="C622" s="12" t="str">
        <f aca="false">IF(N622="","",N622)</f>
        <v/>
      </c>
      <c r="E622" s="13" t="str">
        <f aca="false">IFERROR(VALUE(TRIM(LEFT(RIGHT(D622,18),11))),"")</f>
        <v/>
      </c>
      <c r="J622" s="13" t="str">
        <f aca="false">IFERROR(VALUE(TRIM(LEFT(RIGHT(I622,18),11))),"")</f>
        <v/>
      </c>
      <c r="N622" s="13" t="str">
        <f aca="false">IFERROR(VALUE(TRIM(LEFT(RIGHT(M622,18),11))),"")</f>
        <v/>
      </c>
    </row>
    <row r="623" customFormat="false" ht="14.25" hidden="false" customHeight="true" outlineLevel="0" collapsed="false">
      <c r="A623" s="12" t="str">
        <f aca="false">IF(E623="","",E623)</f>
        <v/>
      </c>
      <c r="B623" s="12" t="str">
        <f aca="false">IF(J623="","",J623)</f>
        <v/>
      </c>
      <c r="C623" s="12" t="str">
        <f aca="false">IF(N623="","",N623)</f>
        <v/>
      </c>
      <c r="E623" s="13" t="str">
        <f aca="false">IFERROR(VALUE(TRIM(LEFT(RIGHT(D623,18),11))),"")</f>
        <v/>
      </c>
      <c r="J623" s="13" t="str">
        <f aca="false">IFERROR(VALUE(TRIM(LEFT(RIGHT(I623,18),11))),"")</f>
        <v/>
      </c>
      <c r="N623" s="13" t="str">
        <f aca="false">IFERROR(VALUE(TRIM(LEFT(RIGHT(M623,18),11))),"")</f>
        <v/>
      </c>
    </row>
    <row r="624" customFormat="false" ht="14.25" hidden="false" customHeight="true" outlineLevel="0" collapsed="false">
      <c r="A624" s="12" t="str">
        <f aca="false">IF(E624="","",E624)</f>
        <v/>
      </c>
      <c r="B624" s="12" t="str">
        <f aca="false">IF(J624="","",J624)</f>
        <v/>
      </c>
      <c r="C624" s="12" t="str">
        <f aca="false">IF(N624="","",N624)</f>
        <v/>
      </c>
      <c r="E624" s="13" t="str">
        <f aca="false">IFERROR(VALUE(TRIM(LEFT(RIGHT(D624,18),11))),"")</f>
        <v/>
      </c>
      <c r="J624" s="13" t="str">
        <f aca="false">IFERROR(VALUE(TRIM(LEFT(RIGHT(I624,18),11))),"")</f>
        <v/>
      </c>
      <c r="N624" s="13" t="str">
        <f aca="false">IFERROR(VALUE(TRIM(LEFT(RIGHT(M624,18),11))),"")</f>
        <v/>
      </c>
    </row>
    <row r="625" customFormat="false" ht="14.25" hidden="false" customHeight="true" outlineLevel="0" collapsed="false">
      <c r="A625" s="12" t="str">
        <f aca="false">IF(E625="","",E625)</f>
        <v/>
      </c>
      <c r="B625" s="12" t="str">
        <f aca="false">IF(J625="","",J625)</f>
        <v/>
      </c>
      <c r="C625" s="12" t="str">
        <f aca="false">IF(N625="","",N625)</f>
        <v/>
      </c>
      <c r="E625" s="13" t="str">
        <f aca="false">IFERROR(VALUE(TRIM(LEFT(RIGHT(D625,18),11))),"")</f>
        <v/>
      </c>
      <c r="J625" s="13" t="str">
        <f aca="false">IFERROR(VALUE(TRIM(LEFT(RIGHT(I625,18),11))),"")</f>
        <v/>
      </c>
      <c r="N625" s="13" t="str">
        <f aca="false">IFERROR(VALUE(TRIM(LEFT(RIGHT(M625,18),11))),"")</f>
        <v/>
      </c>
    </row>
    <row r="626" customFormat="false" ht="14.25" hidden="false" customHeight="true" outlineLevel="0" collapsed="false">
      <c r="A626" s="12" t="str">
        <f aca="false">IF(E626="","",E626)</f>
        <v/>
      </c>
      <c r="B626" s="12" t="str">
        <f aca="false">IF(J626="","",J626)</f>
        <v/>
      </c>
      <c r="C626" s="12" t="str">
        <f aca="false">IF(N626="","",N626)</f>
        <v/>
      </c>
      <c r="E626" s="13" t="str">
        <f aca="false">IFERROR(VALUE(TRIM(LEFT(RIGHT(D626,18),11))),"")</f>
        <v/>
      </c>
      <c r="J626" s="13" t="str">
        <f aca="false">IFERROR(VALUE(TRIM(LEFT(RIGHT(I626,18),11))),"")</f>
        <v/>
      </c>
      <c r="N626" s="13" t="str">
        <f aca="false">IFERROR(VALUE(TRIM(LEFT(RIGHT(M626,18),11))),"")</f>
        <v/>
      </c>
    </row>
    <row r="627" customFormat="false" ht="14.25" hidden="false" customHeight="true" outlineLevel="0" collapsed="false">
      <c r="A627" s="12" t="str">
        <f aca="false">IF(E627="","",E627)</f>
        <v/>
      </c>
      <c r="B627" s="12" t="str">
        <f aca="false">IF(J627="","",J627)</f>
        <v/>
      </c>
      <c r="C627" s="12" t="str">
        <f aca="false">IF(N627="","",N627)</f>
        <v/>
      </c>
      <c r="E627" s="13" t="str">
        <f aca="false">IFERROR(VALUE(TRIM(LEFT(RIGHT(D627,18),11))),"")</f>
        <v/>
      </c>
      <c r="J627" s="13" t="str">
        <f aca="false">IFERROR(VALUE(TRIM(LEFT(RIGHT(I627,18),11))),"")</f>
        <v/>
      </c>
      <c r="N627" s="13" t="str">
        <f aca="false">IFERROR(VALUE(TRIM(LEFT(RIGHT(M627,18),11))),"")</f>
        <v/>
      </c>
    </row>
    <row r="628" customFormat="false" ht="14.25" hidden="false" customHeight="true" outlineLevel="0" collapsed="false">
      <c r="A628" s="12" t="str">
        <f aca="false">IF(E628="","",E628)</f>
        <v/>
      </c>
      <c r="B628" s="12" t="str">
        <f aca="false">IF(J628="","",J628)</f>
        <v/>
      </c>
      <c r="C628" s="12" t="str">
        <f aca="false">IF(N628="","",N628)</f>
        <v/>
      </c>
      <c r="E628" s="13" t="str">
        <f aca="false">IFERROR(VALUE(TRIM(LEFT(RIGHT(D628,18),11))),"")</f>
        <v/>
      </c>
      <c r="J628" s="13" t="str">
        <f aca="false">IFERROR(VALUE(TRIM(LEFT(RIGHT(I628,18),11))),"")</f>
        <v/>
      </c>
      <c r="N628" s="13" t="str">
        <f aca="false">IFERROR(VALUE(TRIM(LEFT(RIGHT(M628,18),11))),"")</f>
        <v/>
      </c>
    </row>
    <row r="629" customFormat="false" ht="14.25" hidden="false" customHeight="true" outlineLevel="0" collapsed="false">
      <c r="A629" s="12" t="str">
        <f aca="false">IF(E629="","",E629)</f>
        <v/>
      </c>
      <c r="B629" s="12" t="str">
        <f aca="false">IF(J629="","",J629)</f>
        <v/>
      </c>
      <c r="C629" s="12" t="str">
        <f aca="false">IF(N629="","",N629)</f>
        <v/>
      </c>
      <c r="E629" s="13" t="str">
        <f aca="false">IFERROR(VALUE(TRIM(LEFT(RIGHT(D629,18),11))),"")</f>
        <v/>
      </c>
      <c r="J629" s="13" t="str">
        <f aca="false">IFERROR(VALUE(TRIM(LEFT(RIGHT(I629,18),11))),"")</f>
        <v/>
      </c>
      <c r="N629" s="13" t="str">
        <f aca="false">IFERROR(VALUE(TRIM(LEFT(RIGHT(M629,18),11))),"")</f>
        <v/>
      </c>
    </row>
    <row r="630" customFormat="false" ht="14.25" hidden="false" customHeight="true" outlineLevel="0" collapsed="false">
      <c r="A630" s="12" t="str">
        <f aca="false">IF(E630="","",E630)</f>
        <v/>
      </c>
      <c r="B630" s="12" t="str">
        <f aca="false">IF(J630="","",J630)</f>
        <v/>
      </c>
      <c r="C630" s="12" t="str">
        <f aca="false">IF(N630="","",N630)</f>
        <v/>
      </c>
      <c r="E630" s="13" t="str">
        <f aca="false">IFERROR(VALUE(TRIM(LEFT(RIGHT(D630,18),11))),"")</f>
        <v/>
      </c>
      <c r="J630" s="13" t="str">
        <f aca="false">IFERROR(VALUE(TRIM(LEFT(RIGHT(I630,18),11))),"")</f>
        <v/>
      </c>
      <c r="N630" s="13" t="str">
        <f aca="false">IFERROR(VALUE(TRIM(LEFT(RIGHT(M630,18),11))),"")</f>
        <v/>
      </c>
    </row>
    <row r="631" customFormat="false" ht="14.25" hidden="false" customHeight="true" outlineLevel="0" collapsed="false">
      <c r="A631" s="12" t="str">
        <f aca="false">IF(E631="","",E631)</f>
        <v/>
      </c>
      <c r="B631" s="12" t="str">
        <f aca="false">IF(J631="","",J631)</f>
        <v/>
      </c>
      <c r="C631" s="12" t="str">
        <f aca="false">IF(N631="","",N631)</f>
        <v/>
      </c>
      <c r="E631" s="13" t="str">
        <f aca="false">IFERROR(VALUE(TRIM(LEFT(RIGHT(D631,18),11))),"")</f>
        <v/>
      </c>
      <c r="J631" s="13" t="str">
        <f aca="false">IFERROR(VALUE(TRIM(LEFT(RIGHT(I631,18),11))),"")</f>
        <v/>
      </c>
      <c r="N631" s="13" t="str">
        <f aca="false">IFERROR(VALUE(TRIM(LEFT(RIGHT(M631,18),11))),"")</f>
        <v/>
      </c>
    </row>
    <row r="632" customFormat="false" ht="14.25" hidden="false" customHeight="true" outlineLevel="0" collapsed="false">
      <c r="A632" s="12" t="str">
        <f aca="false">IF(E632="","",E632)</f>
        <v/>
      </c>
      <c r="B632" s="12" t="str">
        <f aca="false">IF(J632="","",J632)</f>
        <v/>
      </c>
      <c r="C632" s="12" t="str">
        <f aca="false">IF(N632="","",N632)</f>
        <v/>
      </c>
      <c r="E632" s="13" t="str">
        <f aca="false">IFERROR(VALUE(TRIM(LEFT(RIGHT(D632,18),11))),"")</f>
        <v/>
      </c>
      <c r="J632" s="13" t="str">
        <f aca="false">IFERROR(VALUE(TRIM(LEFT(RIGHT(I632,18),11))),"")</f>
        <v/>
      </c>
      <c r="N632" s="13" t="str">
        <f aca="false">IFERROR(VALUE(TRIM(LEFT(RIGHT(M632,18),11))),"")</f>
        <v/>
      </c>
    </row>
    <row r="633" customFormat="false" ht="14.25" hidden="false" customHeight="true" outlineLevel="0" collapsed="false">
      <c r="A633" s="12" t="str">
        <f aca="false">IF(E633="","",E633)</f>
        <v/>
      </c>
      <c r="B633" s="12" t="str">
        <f aca="false">IF(J633="","",J633)</f>
        <v/>
      </c>
      <c r="C633" s="12" t="str">
        <f aca="false">IF(N633="","",N633)</f>
        <v/>
      </c>
      <c r="E633" s="13" t="str">
        <f aca="false">IFERROR(VALUE(TRIM(LEFT(RIGHT(D633,18),11))),"")</f>
        <v/>
      </c>
      <c r="J633" s="13" t="str">
        <f aca="false">IFERROR(VALUE(TRIM(LEFT(RIGHT(I633,18),11))),"")</f>
        <v/>
      </c>
      <c r="N633" s="13" t="str">
        <f aca="false">IFERROR(VALUE(TRIM(LEFT(RIGHT(M633,18),11))),"")</f>
        <v/>
      </c>
    </row>
    <row r="634" customFormat="false" ht="14.25" hidden="false" customHeight="true" outlineLevel="0" collapsed="false">
      <c r="A634" s="12" t="str">
        <f aca="false">IF(E634="","",E634)</f>
        <v/>
      </c>
      <c r="B634" s="12" t="str">
        <f aca="false">IF(J634="","",J634)</f>
        <v/>
      </c>
      <c r="C634" s="12" t="str">
        <f aca="false">IF(N634="","",N634)</f>
        <v/>
      </c>
      <c r="E634" s="13" t="str">
        <f aca="false">IFERROR(VALUE(TRIM(LEFT(RIGHT(D634,18),11))),"")</f>
        <v/>
      </c>
      <c r="J634" s="13" t="str">
        <f aca="false">IFERROR(VALUE(TRIM(LEFT(RIGHT(I634,18),11))),"")</f>
        <v/>
      </c>
      <c r="N634" s="13" t="str">
        <f aca="false">IFERROR(VALUE(TRIM(LEFT(RIGHT(M634,18),11))),"")</f>
        <v/>
      </c>
    </row>
    <row r="635" customFormat="false" ht="14.25" hidden="false" customHeight="true" outlineLevel="0" collapsed="false">
      <c r="A635" s="12" t="str">
        <f aca="false">IF(E635="","",E635)</f>
        <v/>
      </c>
      <c r="B635" s="12" t="str">
        <f aca="false">IF(J635="","",J635)</f>
        <v/>
      </c>
      <c r="C635" s="12" t="str">
        <f aca="false">IF(N635="","",N635)</f>
        <v/>
      </c>
      <c r="E635" s="13" t="str">
        <f aca="false">IFERROR(VALUE(TRIM(LEFT(RIGHT(D635,18),11))),"")</f>
        <v/>
      </c>
      <c r="J635" s="13" t="str">
        <f aca="false">IFERROR(VALUE(TRIM(LEFT(RIGHT(I635,18),11))),"")</f>
        <v/>
      </c>
      <c r="N635" s="13" t="str">
        <f aca="false">IFERROR(VALUE(TRIM(LEFT(RIGHT(M635,18),11))),"")</f>
        <v/>
      </c>
    </row>
    <row r="636" customFormat="false" ht="14.25" hidden="false" customHeight="true" outlineLevel="0" collapsed="false">
      <c r="A636" s="12" t="str">
        <f aca="false">IF(E636="","",E636)</f>
        <v/>
      </c>
      <c r="B636" s="12" t="str">
        <f aca="false">IF(J636="","",J636)</f>
        <v/>
      </c>
      <c r="C636" s="12" t="str">
        <f aca="false">IF(N636="","",N636)</f>
        <v/>
      </c>
      <c r="E636" s="13" t="str">
        <f aca="false">IFERROR(VALUE(TRIM(LEFT(RIGHT(D636,18),11))),"")</f>
        <v/>
      </c>
      <c r="J636" s="13" t="str">
        <f aca="false">IFERROR(VALUE(TRIM(LEFT(RIGHT(I636,18),11))),"")</f>
        <v/>
      </c>
      <c r="N636" s="13" t="str">
        <f aca="false">IFERROR(VALUE(TRIM(LEFT(RIGHT(M636,18),11))),"")</f>
        <v/>
      </c>
    </row>
    <row r="637" customFormat="false" ht="14.25" hidden="false" customHeight="true" outlineLevel="0" collapsed="false">
      <c r="A637" s="12" t="str">
        <f aca="false">IF(E637="","",E637)</f>
        <v/>
      </c>
      <c r="B637" s="12" t="str">
        <f aca="false">IF(J637="","",J637)</f>
        <v/>
      </c>
      <c r="C637" s="12" t="str">
        <f aca="false">IF(N637="","",N637)</f>
        <v/>
      </c>
      <c r="E637" s="13" t="str">
        <f aca="false">IFERROR(VALUE(TRIM(LEFT(RIGHT(D637,18),11))),"")</f>
        <v/>
      </c>
      <c r="J637" s="13" t="str">
        <f aca="false">IFERROR(VALUE(TRIM(LEFT(RIGHT(I637,18),11))),"")</f>
        <v/>
      </c>
      <c r="N637" s="13" t="str">
        <f aca="false">IFERROR(VALUE(TRIM(LEFT(RIGHT(M637,18),11))),"")</f>
        <v/>
      </c>
    </row>
    <row r="638" customFormat="false" ht="14.25" hidden="false" customHeight="true" outlineLevel="0" collapsed="false">
      <c r="A638" s="12" t="str">
        <f aca="false">IF(E638="","",E638)</f>
        <v/>
      </c>
      <c r="B638" s="12" t="str">
        <f aca="false">IF(J638="","",J638)</f>
        <v/>
      </c>
      <c r="C638" s="12" t="str">
        <f aca="false">IF(N638="","",N638)</f>
        <v/>
      </c>
      <c r="E638" s="13" t="str">
        <f aca="false">IFERROR(VALUE(TRIM(LEFT(RIGHT(D638,18),11))),"")</f>
        <v/>
      </c>
      <c r="J638" s="13" t="str">
        <f aca="false">IFERROR(VALUE(TRIM(LEFT(RIGHT(I638,18),11))),"")</f>
        <v/>
      </c>
      <c r="N638" s="13" t="str">
        <f aca="false">IFERROR(VALUE(TRIM(LEFT(RIGHT(M638,18),11))),"")</f>
        <v/>
      </c>
    </row>
    <row r="639" customFormat="false" ht="14.25" hidden="false" customHeight="true" outlineLevel="0" collapsed="false">
      <c r="A639" s="12" t="str">
        <f aca="false">IF(E639="","",E639)</f>
        <v/>
      </c>
      <c r="B639" s="12" t="str">
        <f aca="false">IF(J639="","",J639)</f>
        <v/>
      </c>
      <c r="C639" s="12" t="str">
        <f aca="false">IF(N639="","",N639)</f>
        <v/>
      </c>
      <c r="E639" s="13" t="str">
        <f aca="false">IFERROR(VALUE(TRIM(LEFT(RIGHT(D639,18),11))),"")</f>
        <v/>
      </c>
      <c r="J639" s="13" t="str">
        <f aca="false">IFERROR(VALUE(TRIM(LEFT(RIGHT(I639,18),11))),"")</f>
        <v/>
      </c>
      <c r="N639" s="13" t="str">
        <f aca="false">IFERROR(VALUE(TRIM(LEFT(RIGHT(M639,18),11))),"")</f>
        <v/>
      </c>
    </row>
    <row r="640" customFormat="false" ht="14.25" hidden="false" customHeight="true" outlineLevel="0" collapsed="false">
      <c r="A640" s="12" t="str">
        <f aca="false">IF(E640="","",E640)</f>
        <v/>
      </c>
      <c r="B640" s="12" t="str">
        <f aca="false">IF(J640="","",J640)</f>
        <v/>
      </c>
      <c r="C640" s="12" t="str">
        <f aca="false">IF(N640="","",N640)</f>
        <v/>
      </c>
      <c r="E640" s="13" t="str">
        <f aca="false">IFERROR(VALUE(TRIM(LEFT(RIGHT(D640,18),11))),"")</f>
        <v/>
      </c>
      <c r="J640" s="13" t="str">
        <f aca="false">IFERROR(VALUE(TRIM(LEFT(RIGHT(I640,18),11))),"")</f>
        <v/>
      </c>
      <c r="N640" s="13" t="str">
        <f aca="false">IFERROR(VALUE(TRIM(LEFT(RIGHT(M640,18),11))),"")</f>
        <v/>
      </c>
    </row>
    <row r="641" customFormat="false" ht="14.25" hidden="false" customHeight="true" outlineLevel="0" collapsed="false">
      <c r="A641" s="12" t="str">
        <f aca="false">IF(E641="","",E641)</f>
        <v/>
      </c>
      <c r="B641" s="12" t="str">
        <f aca="false">IF(J641="","",J641)</f>
        <v/>
      </c>
      <c r="C641" s="12" t="str">
        <f aca="false">IF(N641="","",N641)</f>
        <v/>
      </c>
      <c r="E641" s="13" t="str">
        <f aca="false">IFERROR(VALUE(TRIM(LEFT(RIGHT(D641,18),11))),"")</f>
        <v/>
      </c>
      <c r="J641" s="13" t="str">
        <f aca="false">IFERROR(VALUE(TRIM(LEFT(RIGHT(I641,18),11))),"")</f>
        <v/>
      </c>
      <c r="N641" s="13" t="str">
        <f aca="false">IFERROR(VALUE(TRIM(LEFT(RIGHT(M641,18),11))),"")</f>
        <v/>
      </c>
    </row>
    <row r="642" customFormat="false" ht="14.25" hidden="false" customHeight="true" outlineLevel="0" collapsed="false">
      <c r="A642" s="12" t="str">
        <f aca="false">IF(E642="","",E642)</f>
        <v/>
      </c>
      <c r="B642" s="12" t="str">
        <f aca="false">IF(J642="","",J642)</f>
        <v/>
      </c>
      <c r="C642" s="12" t="str">
        <f aca="false">IF(N642="","",N642)</f>
        <v/>
      </c>
      <c r="E642" s="13" t="str">
        <f aca="false">IFERROR(VALUE(TRIM(LEFT(RIGHT(D642,18),11))),"")</f>
        <v/>
      </c>
      <c r="J642" s="13" t="str">
        <f aca="false">IFERROR(VALUE(TRIM(LEFT(RIGHT(I642,18),11))),"")</f>
        <v/>
      </c>
      <c r="N642" s="13" t="str">
        <f aca="false">IFERROR(VALUE(TRIM(LEFT(RIGHT(M642,18),11))),"")</f>
        <v/>
      </c>
    </row>
    <row r="643" customFormat="false" ht="14.25" hidden="false" customHeight="true" outlineLevel="0" collapsed="false">
      <c r="A643" s="12" t="str">
        <f aca="false">IF(E643="","",E643)</f>
        <v/>
      </c>
      <c r="B643" s="12" t="str">
        <f aca="false">IF(J643="","",J643)</f>
        <v/>
      </c>
      <c r="C643" s="12" t="str">
        <f aca="false">IF(N643="","",N643)</f>
        <v/>
      </c>
      <c r="E643" s="13" t="str">
        <f aca="false">IFERROR(VALUE(TRIM(LEFT(RIGHT(D643,18),11))),"")</f>
        <v/>
      </c>
      <c r="J643" s="13" t="str">
        <f aca="false">IFERROR(VALUE(TRIM(LEFT(RIGHT(I643,18),11))),"")</f>
        <v/>
      </c>
      <c r="N643" s="13" t="str">
        <f aca="false">IFERROR(VALUE(TRIM(LEFT(RIGHT(M643,18),11))),"")</f>
        <v/>
      </c>
    </row>
    <row r="644" customFormat="false" ht="14.25" hidden="false" customHeight="true" outlineLevel="0" collapsed="false">
      <c r="A644" s="12" t="str">
        <f aca="false">IF(E644="","",E644)</f>
        <v/>
      </c>
      <c r="B644" s="12" t="str">
        <f aca="false">IF(J644="","",J644)</f>
        <v/>
      </c>
      <c r="C644" s="12" t="str">
        <f aca="false">IF(N644="","",N644)</f>
        <v/>
      </c>
      <c r="E644" s="13" t="str">
        <f aca="false">IFERROR(VALUE(TRIM(LEFT(RIGHT(D644,18),11))),"")</f>
        <v/>
      </c>
      <c r="J644" s="13" t="str">
        <f aca="false">IFERROR(VALUE(TRIM(LEFT(RIGHT(I644,18),11))),"")</f>
        <v/>
      </c>
      <c r="N644" s="13" t="str">
        <f aca="false">IFERROR(VALUE(TRIM(LEFT(RIGHT(M644,18),11))),"")</f>
        <v/>
      </c>
    </row>
    <row r="645" customFormat="false" ht="14.25" hidden="false" customHeight="true" outlineLevel="0" collapsed="false">
      <c r="A645" s="12" t="str">
        <f aca="false">IF(E645="","",E645)</f>
        <v/>
      </c>
      <c r="B645" s="12" t="str">
        <f aca="false">IF(J645="","",J645)</f>
        <v/>
      </c>
      <c r="C645" s="12" t="str">
        <f aca="false">IF(N645="","",N645)</f>
        <v/>
      </c>
      <c r="E645" s="13" t="str">
        <f aca="false">IFERROR(VALUE(TRIM(LEFT(RIGHT(D645,18),11))),"")</f>
        <v/>
      </c>
      <c r="J645" s="13" t="str">
        <f aca="false">IFERROR(VALUE(TRIM(LEFT(RIGHT(I645,18),11))),"")</f>
        <v/>
      </c>
      <c r="N645" s="13" t="str">
        <f aca="false">IFERROR(VALUE(TRIM(LEFT(RIGHT(M645,18),11))),"")</f>
        <v/>
      </c>
    </row>
    <row r="646" customFormat="false" ht="14.25" hidden="false" customHeight="true" outlineLevel="0" collapsed="false">
      <c r="A646" s="12" t="str">
        <f aca="false">IF(E646="","",E646)</f>
        <v/>
      </c>
      <c r="B646" s="12" t="str">
        <f aca="false">IF(J646="","",J646)</f>
        <v/>
      </c>
      <c r="C646" s="12" t="str">
        <f aca="false">IF(N646="","",N646)</f>
        <v/>
      </c>
      <c r="E646" s="13" t="str">
        <f aca="false">IFERROR(VALUE(TRIM(LEFT(RIGHT(D646,18),11))),"")</f>
        <v/>
      </c>
      <c r="J646" s="13" t="str">
        <f aca="false">IFERROR(VALUE(TRIM(LEFT(RIGHT(I646,18),11))),"")</f>
        <v/>
      </c>
      <c r="N646" s="13" t="str">
        <f aca="false">IFERROR(VALUE(TRIM(LEFT(RIGHT(M646,18),11))),"")</f>
        <v/>
      </c>
    </row>
    <row r="647" customFormat="false" ht="14.25" hidden="false" customHeight="true" outlineLevel="0" collapsed="false">
      <c r="A647" s="12" t="str">
        <f aca="false">IF(E647="","",E647)</f>
        <v/>
      </c>
      <c r="B647" s="12" t="str">
        <f aca="false">IF(J647="","",J647)</f>
        <v/>
      </c>
      <c r="C647" s="12" t="str">
        <f aca="false">IF(N647="","",N647)</f>
        <v/>
      </c>
      <c r="E647" s="13" t="str">
        <f aca="false">IFERROR(VALUE(TRIM(LEFT(RIGHT(D647,18),11))),"")</f>
        <v/>
      </c>
      <c r="J647" s="13" t="str">
        <f aca="false">IFERROR(VALUE(TRIM(LEFT(RIGHT(I647,18),11))),"")</f>
        <v/>
      </c>
      <c r="N647" s="13" t="str">
        <f aca="false">IFERROR(VALUE(TRIM(LEFT(RIGHT(M647,18),11))),"")</f>
        <v/>
      </c>
    </row>
    <row r="648" customFormat="false" ht="14.25" hidden="false" customHeight="true" outlineLevel="0" collapsed="false">
      <c r="A648" s="12" t="str">
        <f aca="false">IF(E648="","",E648)</f>
        <v/>
      </c>
      <c r="B648" s="12" t="str">
        <f aca="false">IF(J648="","",J648)</f>
        <v/>
      </c>
      <c r="C648" s="12" t="str">
        <f aca="false">IF(N648="","",N648)</f>
        <v/>
      </c>
      <c r="E648" s="13" t="str">
        <f aca="false">IFERROR(VALUE(TRIM(LEFT(RIGHT(D648,18),11))),"")</f>
        <v/>
      </c>
      <c r="J648" s="13" t="str">
        <f aca="false">IFERROR(VALUE(TRIM(LEFT(RIGHT(I648,18),11))),"")</f>
        <v/>
      </c>
      <c r="N648" s="13" t="str">
        <f aca="false">IFERROR(VALUE(TRIM(LEFT(RIGHT(M648,18),11))),"")</f>
        <v/>
      </c>
    </row>
    <row r="649" customFormat="false" ht="14.25" hidden="false" customHeight="true" outlineLevel="0" collapsed="false">
      <c r="A649" s="12" t="str">
        <f aca="false">IF(E649="","",E649)</f>
        <v/>
      </c>
      <c r="B649" s="12" t="str">
        <f aca="false">IF(J649="","",J649)</f>
        <v/>
      </c>
      <c r="C649" s="12" t="str">
        <f aca="false">IF(N649="","",N649)</f>
        <v/>
      </c>
      <c r="E649" s="13" t="str">
        <f aca="false">IFERROR(VALUE(TRIM(LEFT(RIGHT(D649,18),11))),"")</f>
        <v/>
      </c>
      <c r="J649" s="13" t="str">
        <f aca="false">IFERROR(VALUE(TRIM(LEFT(RIGHT(I649,18),11))),"")</f>
        <v/>
      </c>
      <c r="N649" s="13" t="str">
        <f aca="false">IFERROR(VALUE(TRIM(LEFT(RIGHT(M649,18),11))),"")</f>
        <v/>
      </c>
    </row>
    <row r="650" customFormat="false" ht="14.25" hidden="false" customHeight="true" outlineLevel="0" collapsed="false">
      <c r="A650" s="12" t="str">
        <f aca="false">IF(E650="","",E650)</f>
        <v/>
      </c>
      <c r="B650" s="12" t="str">
        <f aca="false">IF(J650="","",J650)</f>
        <v/>
      </c>
      <c r="C650" s="12" t="str">
        <f aca="false">IF(N650="","",N650)</f>
        <v/>
      </c>
      <c r="E650" s="13" t="str">
        <f aca="false">IFERROR(VALUE(TRIM(LEFT(RIGHT(D650,18),11))),"")</f>
        <v/>
      </c>
      <c r="J650" s="13" t="str">
        <f aca="false">IFERROR(VALUE(TRIM(LEFT(RIGHT(I650,18),11))),"")</f>
        <v/>
      </c>
      <c r="N650" s="13" t="str">
        <f aca="false">IFERROR(VALUE(TRIM(LEFT(RIGHT(M650,18),11))),"")</f>
        <v/>
      </c>
    </row>
    <row r="651" customFormat="false" ht="14.25" hidden="false" customHeight="true" outlineLevel="0" collapsed="false">
      <c r="A651" s="13"/>
      <c r="B651" s="13"/>
      <c r="C651" s="13"/>
      <c r="E651" s="13"/>
      <c r="J651" s="13"/>
      <c r="N651" s="13"/>
    </row>
    <row r="652" customFormat="false" ht="14.25" hidden="false" customHeight="true" outlineLevel="0" collapsed="false">
      <c r="A652" s="13"/>
      <c r="B652" s="13"/>
      <c r="C652" s="13"/>
      <c r="E652" s="13"/>
      <c r="J652" s="13"/>
      <c r="N652" s="13"/>
    </row>
    <row r="653" customFormat="false" ht="14.25" hidden="false" customHeight="true" outlineLevel="0" collapsed="false">
      <c r="A653" s="13"/>
      <c r="B653" s="13"/>
      <c r="C653" s="13"/>
      <c r="E653" s="13"/>
      <c r="J653" s="13"/>
      <c r="N653" s="13"/>
    </row>
    <row r="654" customFormat="false" ht="14.25" hidden="false" customHeight="true" outlineLevel="0" collapsed="false">
      <c r="A654" s="13"/>
      <c r="B654" s="13"/>
      <c r="C654" s="13"/>
      <c r="E654" s="13"/>
      <c r="J654" s="13"/>
      <c r="N654" s="13"/>
    </row>
    <row r="655" customFormat="false" ht="14.25" hidden="false" customHeight="true" outlineLevel="0" collapsed="false">
      <c r="A655" s="13"/>
      <c r="B655" s="13"/>
      <c r="C655" s="13"/>
      <c r="E655" s="13"/>
      <c r="J655" s="13"/>
      <c r="N655" s="13"/>
    </row>
    <row r="656" customFormat="false" ht="14.25" hidden="false" customHeight="true" outlineLevel="0" collapsed="false">
      <c r="A656" s="13"/>
      <c r="B656" s="13"/>
      <c r="C656" s="13"/>
      <c r="E656" s="13"/>
      <c r="J656" s="13"/>
      <c r="N656" s="13"/>
    </row>
    <row r="657" customFormat="false" ht="14.25" hidden="false" customHeight="true" outlineLevel="0" collapsed="false">
      <c r="A657" s="13"/>
      <c r="B657" s="13"/>
      <c r="C657" s="13"/>
      <c r="E657" s="13"/>
      <c r="J657" s="13"/>
      <c r="N657" s="13"/>
    </row>
    <row r="658" customFormat="false" ht="14.25" hidden="false" customHeight="true" outlineLevel="0" collapsed="false">
      <c r="A658" s="13"/>
      <c r="B658" s="13"/>
      <c r="C658" s="13"/>
      <c r="E658" s="13"/>
      <c r="J658" s="13"/>
      <c r="N658" s="13"/>
    </row>
    <row r="659" customFormat="false" ht="14.25" hidden="false" customHeight="true" outlineLevel="0" collapsed="false">
      <c r="A659" s="13"/>
      <c r="B659" s="13"/>
      <c r="C659" s="13"/>
      <c r="E659" s="13"/>
      <c r="J659" s="13"/>
      <c r="N659" s="13"/>
    </row>
    <row r="660" customFormat="false" ht="14.25" hidden="false" customHeight="true" outlineLevel="0" collapsed="false">
      <c r="A660" s="13"/>
      <c r="B660" s="13"/>
      <c r="C660" s="13"/>
      <c r="E660" s="13"/>
      <c r="J660" s="13"/>
      <c r="N660" s="13"/>
    </row>
    <row r="661" customFormat="false" ht="14.25" hidden="false" customHeight="true" outlineLevel="0" collapsed="false">
      <c r="A661" s="13"/>
      <c r="B661" s="13"/>
      <c r="C661" s="13"/>
      <c r="E661" s="13"/>
      <c r="J661" s="13"/>
      <c r="N661" s="13"/>
    </row>
    <row r="662" customFormat="false" ht="14.25" hidden="false" customHeight="true" outlineLevel="0" collapsed="false">
      <c r="A662" s="13"/>
      <c r="B662" s="13"/>
      <c r="C662" s="13"/>
      <c r="E662" s="13"/>
      <c r="J662" s="13"/>
      <c r="N662" s="13"/>
    </row>
    <row r="663" customFormat="false" ht="14.25" hidden="false" customHeight="true" outlineLevel="0" collapsed="false">
      <c r="A663" s="13"/>
      <c r="B663" s="13"/>
      <c r="C663" s="13"/>
      <c r="E663" s="13"/>
      <c r="J663" s="13"/>
      <c r="N663" s="13"/>
    </row>
    <row r="664" customFormat="false" ht="14.25" hidden="false" customHeight="true" outlineLevel="0" collapsed="false">
      <c r="A664" s="13"/>
      <c r="B664" s="13"/>
      <c r="C664" s="13"/>
      <c r="E664" s="13"/>
      <c r="J664" s="13"/>
      <c r="N664" s="13"/>
    </row>
    <row r="665" customFormat="false" ht="14.25" hidden="false" customHeight="true" outlineLevel="0" collapsed="false">
      <c r="A665" s="13"/>
      <c r="B665" s="13"/>
      <c r="C665" s="13"/>
      <c r="E665" s="13"/>
      <c r="J665" s="13"/>
      <c r="N665" s="13"/>
    </row>
    <row r="666" customFormat="false" ht="14.25" hidden="false" customHeight="true" outlineLevel="0" collapsed="false">
      <c r="A666" s="13"/>
      <c r="B666" s="13"/>
      <c r="C666" s="13"/>
      <c r="E666" s="13"/>
      <c r="J666" s="13"/>
      <c r="N666" s="13"/>
    </row>
    <row r="667" customFormat="false" ht="14.25" hidden="false" customHeight="true" outlineLevel="0" collapsed="false">
      <c r="A667" s="13"/>
      <c r="B667" s="13"/>
      <c r="C667" s="13"/>
      <c r="E667" s="13"/>
      <c r="J667" s="13"/>
      <c r="N667" s="13"/>
    </row>
    <row r="668" customFormat="false" ht="14.25" hidden="false" customHeight="true" outlineLevel="0" collapsed="false">
      <c r="A668" s="13"/>
      <c r="B668" s="13"/>
      <c r="C668" s="13"/>
      <c r="E668" s="13"/>
      <c r="J668" s="13"/>
      <c r="N668" s="13"/>
    </row>
    <row r="669" customFormat="false" ht="14.25" hidden="false" customHeight="true" outlineLevel="0" collapsed="false">
      <c r="A669" s="13"/>
      <c r="B669" s="13"/>
      <c r="C669" s="13"/>
      <c r="E669" s="13"/>
      <c r="J669" s="13"/>
      <c r="N669" s="13"/>
    </row>
    <row r="670" customFormat="false" ht="14.25" hidden="false" customHeight="true" outlineLevel="0" collapsed="false">
      <c r="A670" s="13"/>
      <c r="B670" s="13"/>
      <c r="C670" s="13"/>
      <c r="E670" s="13"/>
      <c r="J670" s="13"/>
      <c r="N670" s="13"/>
    </row>
    <row r="671" customFormat="false" ht="14.25" hidden="false" customHeight="true" outlineLevel="0" collapsed="false">
      <c r="A671" s="13"/>
      <c r="B671" s="13"/>
      <c r="C671" s="13"/>
      <c r="E671" s="13"/>
      <c r="J671" s="13"/>
      <c r="N671" s="13"/>
    </row>
    <row r="672" customFormat="false" ht="14.25" hidden="false" customHeight="true" outlineLevel="0" collapsed="false">
      <c r="A672" s="13"/>
      <c r="B672" s="13"/>
      <c r="C672" s="13"/>
      <c r="E672" s="13"/>
      <c r="J672" s="13"/>
      <c r="N672" s="13"/>
    </row>
    <row r="673" customFormat="false" ht="14.25" hidden="false" customHeight="true" outlineLevel="0" collapsed="false">
      <c r="A673" s="13"/>
      <c r="B673" s="13"/>
      <c r="C673" s="13"/>
      <c r="E673" s="13"/>
      <c r="J673" s="13"/>
      <c r="N673" s="13"/>
    </row>
    <row r="674" customFormat="false" ht="14.25" hidden="false" customHeight="true" outlineLevel="0" collapsed="false">
      <c r="A674" s="13"/>
      <c r="B674" s="13"/>
      <c r="C674" s="13"/>
      <c r="E674" s="13"/>
      <c r="J674" s="13"/>
      <c r="N674" s="13"/>
    </row>
    <row r="675" customFormat="false" ht="14.25" hidden="false" customHeight="true" outlineLevel="0" collapsed="false">
      <c r="A675" s="13"/>
      <c r="B675" s="13"/>
      <c r="C675" s="13"/>
      <c r="E675" s="13"/>
      <c r="J675" s="13"/>
      <c r="N675" s="13"/>
    </row>
    <row r="676" customFormat="false" ht="14.25" hidden="false" customHeight="true" outlineLevel="0" collapsed="false">
      <c r="A676" s="13"/>
      <c r="B676" s="13"/>
      <c r="C676" s="13"/>
      <c r="E676" s="13"/>
      <c r="J676" s="13"/>
      <c r="N676" s="13"/>
    </row>
    <row r="677" customFormat="false" ht="14.25" hidden="false" customHeight="true" outlineLevel="0" collapsed="false">
      <c r="A677" s="13"/>
      <c r="B677" s="13"/>
      <c r="C677" s="13"/>
      <c r="E677" s="13"/>
      <c r="J677" s="13"/>
      <c r="N677" s="13"/>
    </row>
    <row r="678" customFormat="false" ht="14.25" hidden="false" customHeight="true" outlineLevel="0" collapsed="false">
      <c r="A678" s="13"/>
      <c r="B678" s="13"/>
      <c r="C678" s="13"/>
      <c r="E678" s="13"/>
      <c r="J678" s="13"/>
      <c r="N678" s="13"/>
    </row>
    <row r="679" customFormat="false" ht="14.25" hidden="false" customHeight="true" outlineLevel="0" collapsed="false">
      <c r="A679" s="13"/>
      <c r="B679" s="13"/>
      <c r="C679" s="13"/>
      <c r="E679" s="13"/>
      <c r="J679" s="13"/>
      <c r="N679" s="13"/>
    </row>
    <row r="680" customFormat="false" ht="14.25" hidden="false" customHeight="true" outlineLevel="0" collapsed="false">
      <c r="A680" s="13"/>
      <c r="B680" s="13"/>
      <c r="C680" s="13"/>
      <c r="E680" s="13"/>
      <c r="J680" s="13"/>
      <c r="N680" s="13"/>
    </row>
    <row r="681" customFormat="false" ht="14.25" hidden="false" customHeight="true" outlineLevel="0" collapsed="false">
      <c r="A681" s="13"/>
      <c r="B681" s="13"/>
      <c r="C681" s="13"/>
      <c r="E681" s="13"/>
      <c r="J681" s="13"/>
      <c r="N681" s="13"/>
    </row>
    <row r="682" customFormat="false" ht="14.25" hidden="false" customHeight="true" outlineLevel="0" collapsed="false">
      <c r="A682" s="13"/>
      <c r="B682" s="13"/>
      <c r="C682" s="13"/>
      <c r="E682" s="13"/>
      <c r="J682" s="13"/>
      <c r="N682" s="13"/>
    </row>
    <row r="683" customFormat="false" ht="14.25" hidden="false" customHeight="true" outlineLevel="0" collapsed="false">
      <c r="A683" s="13"/>
      <c r="B683" s="13"/>
      <c r="C683" s="13"/>
      <c r="E683" s="13"/>
      <c r="J683" s="13"/>
      <c r="N683" s="13"/>
    </row>
    <row r="684" customFormat="false" ht="14.25" hidden="false" customHeight="true" outlineLevel="0" collapsed="false">
      <c r="A684" s="13"/>
      <c r="B684" s="13"/>
      <c r="C684" s="13"/>
      <c r="E684" s="13"/>
      <c r="J684" s="13"/>
      <c r="N684" s="13"/>
    </row>
    <row r="685" customFormat="false" ht="14.25" hidden="false" customHeight="true" outlineLevel="0" collapsed="false">
      <c r="A685" s="13"/>
      <c r="B685" s="13"/>
      <c r="C685" s="13"/>
      <c r="E685" s="13"/>
      <c r="J685" s="13"/>
      <c r="N685" s="13"/>
    </row>
    <row r="686" customFormat="false" ht="14.25" hidden="false" customHeight="true" outlineLevel="0" collapsed="false">
      <c r="A686" s="13"/>
      <c r="B686" s="13"/>
      <c r="C686" s="13"/>
      <c r="E686" s="13"/>
      <c r="J686" s="13"/>
      <c r="N686" s="13"/>
    </row>
    <row r="687" customFormat="false" ht="14.25" hidden="false" customHeight="true" outlineLevel="0" collapsed="false">
      <c r="A687" s="13"/>
      <c r="B687" s="13"/>
      <c r="C687" s="13"/>
      <c r="E687" s="13"/>
      <c r="J687" s="13"/>
      <c r="N687" s="13"/>
    </row>
    <row r="688" customFormat="false" ht="14.25" hidden="false" customHeight="true" outlineLevel="0" collapsed="false">
      <c r="A688" s="13"/>
      <c r="B688" s="13"/>
      <c r="C688" s="13"/>
      <c r="E688" s="13"/>
      <c r="J688" s="13"/>
      <c r="N688" s="13"/>
    </row>
    <row r="689" customFormat="false" ht="14.25" hidden="false" customHeight="true" outlineLevel="0" collapsed="false">
      <c r="A689" s="13"/>
      <c r="B689" s="13"/>
      <c r="C689" s="13"/>
      <c r="E689" s="13"/>
      <c r="J689" s="13"/>
      <c r="N689" s="13"/>
    </row>
    <row r="690" customFormat="false" ht="14.25" hidden="false" customHeight="true" outlineLevel="0" collapsed="false">
      <c r="A690" s="13"/>
      <c r="B690" s="13"/>
      <c r="C690" s="13"/>
      <c r="E690" s="13"/>
      <c r="J690" s="13"/>
      <c r="N690" s="13"/>
    </row>
    <row r="691" customFormat="false" ht="14.25" hidden="false" customHeight="true" outlineLevel="0" collapsed="false">
      <c r="A691" s="13"/>
      <c r="B691" s="13"/>
      <c r="C691" s="13"/>
      <c r="E691" s="13"/>
      <c r="J691" s="13"/>
      <c r="N691" s="13"/>
    </row>
    <row r="692" customFormat="false" ht="14.25" hidden="false" customHeight="true" outlineLevel="0" collapsed="false">
      <c r="A692" s="13"/>
      <c r="B692" s="13"/>
      <c r="C692" s="13"/>
      <c r="E692" s="13"/>
      <c r="J692" s="13"/>
      <c r="N692" s="13"/>
    </row>
    <row r="693" customFormat="false" ht="14.25" hidden="false" customHeight="true" outlineLevel="0" collapsed="false">
      <c r="A693" s="13"/>
      <c r="B693" s="13"/>
      <c r="C693" s="13"/>
      <c r="E693" s="13"/>
      <c r="J693" s="13"/>
      <c r="N693" s="13"/>
    </row>
    <row r="694" customFormat="false" ht="14.25" hidden="false" customHeight="true" outlineLevel="0" collapsed="false">
      <c r="A694" s="13"/>
      <c r="B694" s="13"/>
      <c r="C694" s="13"/>
      <c r="E694" s="13"/>
      <c r="J694" s="13"/>
      <c r="N694" s="13"/>
    </row>
    <row r="695" customFormat="false" ht="14.25" hidden="false" customHeight="true" outlineLevel="0" collapsed="false">
      <c r="A695" s="13"/>
      <c r="B695" s="13"/>
      <c r="C695" s="13"/>
      <c r="E695" s="13"/>
      <c r="J695" s="13"/>
      <c r="N695" s="13"/>
    </row>
    <row r="696" customFormat="false" ht="14.25" hidden="false" customHeight="true" outlineLevel="0" collapsed="false">
      <c r="A696" s="13"/>
      <c r="B696" s="13"/>
      <c r="C696" s="13"/>
      <c r="E696" s="13"/>
      <c r="J696" s="13"/>
      <c r="N696" s="13"/>
    </row>
    <row r="697" customFormat="false" ht="14.25" hidden="false" customHeight="true" outlineLevel="0" collapsed="false">
      <c r="A697" s="13"/>
      <c r="B697" s="13"/>
      <c r="C697" s="13"/>
      <c r="E697" s="13"/>
      <c r="J697" s="13"/>
      <c r="N697" s="13"/>
    </row>
    <row r="698" customFormat="false" ht="14.25" hidden="false" customHeight="true" outlineLevel="0" collapsed="false">
      <c r="A698" s="13"/>
      <c r="B698" s="13"/>
      <c r="C698" s="13"/>
      <c r="E698" s="13"/>
      <c r="J698" s="13"/>
      <c r="N698" s="13"/>
    </row>
    <row r="699" customFormat="false" ht="14.25" hidden="false" customHeight="true" outlineLevel="0" collapsed="false">
      <c r="A699" s="13"/>
      <c r="B699" s="13"/>
      <c r="C699" s="13"/>
      <c r="E699" s="13"/>
      <c r="J699" s="13"/>
      <c r="N699" s="13"/>
    </row>
    <row r="700" customFormat="false" ht="14.25" hidden="false" customHeight="true" outlineLevel="0" collapsed="false">
      <c r="A700" s="13"/>
      <c r="B700" s="13"/>
      <c r="C700" s="13"/>
      <c r="E700" s="13"/>
      <c r="J700" s="13"/>
      <c r="N700" s="13"/>
    </row>
    <row r="701" customFormat="false" ht="14.25" hidden="false" customHeight="true" outlineLevel="0" collapsed="false">
      <c r="A701" s="13"/>
      <c r="B701" s="13"/>
      <c r="C701" s="13"/>
      <c r="E701" s="13"/>
      <c r="J701" s="13"/>
      <c r="N701" s="13"/>
    </row>
    <row r="702" customFormat="false" ht="14.25" hidden="false" customHeight="true" outlineLevel="0" collapsed="false">
      <c r="A702" s="13"/>
      <c r="B702" s="13"/>
      <c r="C702" s="13"/>
      <c r="E702" s="13"/>
      <c r="J702" s="13"/>
      <c r="N702" s="13"/>
    </row>
    <row r="703" customFormat="false" ht="14.25" hidden="false" customHeight="true" outlineLevel="0" collapsed="false">
      <c r="A703" s="13"/>
      <c r="B703" s="13"/>
      <c r="C703" s="13"/>
      <c r="E703" s="13"/>
      <c r="J703" s="13"/>
      <c r="N703" s="13"/>
    </row>
    <row r="704" customFormat="false" ht="14.25" hidden="false" customHeight="true" outlineLevel="0" collapsed="false">
      <c r="A704" s="13"/>
      <c r="B704" s="13"/>
      <c r="C704" s="13"/>
      <c r="E704" s="13"/>
      <c r="J704" s="13"/>
      <c r="N704" s="13"/>
    </row>
    <row r="705" customFormat="false" ht="14.25" hidden="false" customHeight="true" outlineLevel="0" collapsed="false">
      <c r="A705" s="13"/>
      <c r="B705" s="13"/>
      <c r="C705" s="13"/>
      <c r="E705" s="13"/>
      <c r="J705" s="13"/>
      <c r="N705" s="13"/>
    </row>
    <row r="706" customFormat="false" ht="14.25" hidden="false" customHeight="true" outlineLevel="0" collapsed="false">
      <c r="A706" s="13"/>
      <c r="B706" s="13"/>
      <c r="C706" s="13"/>
      <c r="E706" s="13"/>
      <c r="J706" s="13"/>
      <c r="N706" s="13"/>
    </row>
    <row r="707" customFormat="false" ht="14.25" hidden="false" customHeight="true" outlineLevel="0" collapsed="false">
      <c r="A707" s="13"/>
      <c r="B707" s="13"/>
      <c r="C707" s="13"/>
      <c r="E707" s="13"/>
      <c r="J707" s="13"/>
      <c r="N707" s="13"/>
    </row>
    <row r="708" customFormat="false" ht="14.25" hidden="false" customHeight="true" outlineLevel="0" collapsed="false">
      <c r="A708" s="13"/>
      <c r="B708" s="13"/>
      <c r="C708" s="13"/>
      <c r="E708" s="13"/>
      <c r="J708" s="13"/>
      <c r="N708" s="13"/>
    </row>
    <row r="709" customFormat="false" ht="14.25" hidden="false" customHeight="true" outlineLevel="0" collapsed="false">
      <c r="A709" s="13"/>
      <c r="B709" s="13"/>
      <c r="C709" s="13"/>
      <c r="E709" s="13"/>
      <c r="J709" s="13"/>
      <c r="N709" s="13"/>
    </row>
    <row r="710" customFormat="false" ht="14.25" hidden="false" customHeight="true" outlineLevel="0" collapsed="false">
      <c r="A710" s="13"/>
      <c r="B710" s="13"/>
      <c r="C710" s="13"/>
      <c r="E710" s="13"/>
      <c r="J710" s="13"/>
      <c r="N710" s="13"/>
    </row>
    <row r="711" customFormat="false" ht="14.25" hidden="false" customHeight="true" outlineLevel="0" collapsed="false">
      <c r="A711" s="13"/>
      <c r="B711" s="13"/>
      <c r="C711" s="13"/>
      <c r="E711" s="13"/>
      <c r="J711" s="13"/>
      <c r="N711" s="13"/>
    </row>
    <row r="712" customFormat="false" ht="14.25" hidden="false" customHeight="true" outlineLevel="0" collapsed="false">
      <c r="A712" s="13"/>
      <c r="B712" s="13"/>
      <c r="C712" s="13"/>
      <c r="E712" s="13"/>
      <c r="J712" s="13"/>
      <c r="N712" s="13"/>
    </row>
    <row r="713" customFormat="false" ht="14.25" hidden="false" customHeight="true" outlineLevel="0" collapsed="false">
      <c r="A713" s="13"/>
      <c r="B713" s="13"/>
      <c r="C713" s="13"/>
      <c r="E713" s="13"/>
      <c r="J713" s="13"/>
      <c r="N713" s="13"/>
    </row>
    <row r="714" customFormat="false" ht="14.25" hidden="false" customHeight="true" outlineLevel="0" collapsed="false">
      <c r="A714" s="13"/>
      <c r="B714" s="13"/>
      <c r="C714" s="13"/>
      <c r="E714" s="13"/>
      <c r="J714" s="13"/>
      <c r="N714" s="13"/>
    </row>
    <row r="715" customFormat="false" ht="14.25" hidden="false" customHeight="true" outlineLevel="0" collapsed="false">
      <c r="A715" s="13"/>
      <c r="B715" s="13"/>
      <c r="C715" s="13"/>
      <c r="E715" s="13"/>
      <c r="J715" s="13"/>
      <c r="N715" s="13"/>
    </row>
    <row r="716" customFormat="false" ht="14.25" hidden="false" customHeight="true" outlineLevel="0" collapsed="false">
      <c r="A716" s="13"/>
      <c r="B716" s="13"/>
      <c r="C716" s="13"/>
      <c r="E716" s="13"/>
      <c r="J716" s="13"/>
      <c r="N716" s="13"/>
    </row>
    <row r="717" customFormat="false" ht="14.25" hidden="false" customHeight="true" outlineLevel="0" collapsed="false">
      <c r="A717" s="13"/>
      <c r="B717" s="13"/>
      <c r="C717" s="13"/>
      <c r="E717" s="13"/>
      <c r="J717" s="13"/>
      <c r="N717" s="13"/>
    </row>
    <row r="718" customFormat="false" ht="14.25" hidden="false" customHeight="true" outlineLevel="0" collapsed="false">
      <c r="A718" s="13"/>
      <c r="B718" s="13"/>
      <c r="C718" s="13"/>
      <c r="E718" s="13"/>
      <c r="J718" s="13"/>
      <c r="N718" s="13"/>
    </row>
    <row r="719" customFormat="false" ht="14.25" hidden="false" customHeight="true" outlineLevel="0" collapsed="false">
      <c r="A719" s="13"/>
      <c r="B719" s="13"/>
      <c r="C719" s="13"/>
      <c r="E719" s="13"/>
      <c r="J719" s="13"/>
      <c r="N719" s="13"/>
    </row>
    <row r="720" customFormat="false" ht="14.25" hidden="false" customHeight="true" outlineLevel="0" collapsed="false">
      <c r="A720" s="13"/>
      <c r="B720" s="13"/>
      <c r="C720" s="13"/>
      <c r="E720" s="13"/>
      <c r="J720" s="13"/>
      <c r="N720" s="13"/>
    </row>
    <row r="721" customFormat="false" ht="14.25" hidden="false" customHeight="true" outlineLevel="0" collapsed="false">
      <c r="A721" s="13"/>
      <c r="B721" s="13"/>
      <c r="C721" s="13"/>
      <c r="E721" s="13"/>
      <c r="J721" s="13"/>
      <c r="N721" s="13"/>
    </row>
    <row r="722" customFormat="false" ht="14.25" hidden="false" customHeight="true" outlineLevel="0" collapsed="false">
      <c r="A722" s="13"/>
      <c r="B722" s="13"/>
      <c r="C722" s="13"/>
      <c r="E722" s="13"/>
      <c r="J722" s="13"/>
      <c r="N722" s="13"/>
    </row>
    <row r="723" customFormat="false" ht="14.25" hidden="false" customHeight="true" outlineLevel="0" collapsed="false">
      <c r="A723" s="13"/>
      <c r="B723" s="13"/>
      <c r="C723" s="13"/>
      <c r="E723" s="13"/>
      <c r="J723" s="13"/>
      <c r="N723" s="13"/>
    </row>
    <row r="724" customFormat="false" ht="14.25" hidden="false" customHeight="true" outlineLevel="0" collapsed="false">
      <c r="A724" s="13"/>
      <c r="B724" s="13"/>
      <c r="C724" s="13"/>
      <c r="E724" s="13"/>
      <c r="J724" s="13"/>
      <c r="N724" s="13"/>
    </row>
    <row r="725" customFormat="false" ht="14.25" hidden="false" customHeight="true" outlineLevel="0" collapsed="false">
      <c r="A725" s="13"/>
      <c r="B725" s="13"/>
      <c r="C725" s="13"/>
      <c r="E725" s="13"/>
      <c r="J725" s="13"/>
      <c r="N725" s="13"/>
    </row>
    <row r="726" customFormat="false" ht="14.25" hidden="false" customHeight="true" outlineLevel="0" collapsed="false">
      <c r="A726" s="13"/>
      <c r="B726" s="13"/>
      <c r="C726" s="13"/>
      <c r="E726" s="13"/>
      <c r="J726" s="13"/>
      <c r="N726" s="13"/>
    </row>
    <row r="727" customFormat="false" ht="14.25" hidden="false" customHeight="true" outlineLevel="0" collapsed="false">
      <c r="A727" s="13"/>
      <c r="B727" s="13"/>
      <c r="C727" s="13"/>
      <c r="E727" s="13"/>
      <c r="J727" s="13"/>
      <c r="N727" s="13"/>
    </row>
    <row r="728" customFormat="false" ht="14.25" hidden="false" customHeight="true" outlineLevel="0" collapsed="false">
      <c r="A728" s="13"/>
      <c r="B728" s="13"/>
      <c r="C728" s="13"/>
      <c r="E728" s="13"/>
      <c r="J728" s="13"/>
      <c r="N728" s="13"/>
    </row>
    <row r="729" customFormat="false" ht="14.25" hidden="false" customHeight="true" outlineLevel="0" collapsed="false">
      <c r="A729" s="13"/>
      <c r="B729" s="13"/>
      <c r="C729" s="13"/>
      <c r="E729" s="13"/>
      <c r="J729" s="13"/>
      <c r="N729" s="13"/>
    </row>
    <row r="730" customFormat="false" ht="14.25" hidden="false" customHeight="true" outlineLevel="0" collapsed="false">
      <c r="A730" s="13"/>
      <c r="B730" s="13"/>
      <c r="C730" s="13"/>
      <c r="E730" s="13"/>
      <c r="J730" s="13"/>
      <c r="N730" s="13"/>
    </row>
    <row r="731" customFormat="false" ht="14.25" hidden="false" customHeight="true" outlineLevel="0" collapsed="false">
      <c r="A731" s="13"/>
      <c r="B731" s="13"/>
      <c r="C731" s="13"/>
      <c r="E731" s="13"/>
      <c r="J731" s="13"/>
      <c r="N731" s="13"/>
    </row>
    <row r="732" customFormat="false" ht="14.25" hidden="false" customHeight="true" outlineLevel="0" collapsed="false">
      <c r="A732" s="13"/>
      <c r="B732" s="13"/>
      <c r="C732" s="13"/>
      <c r="E732" s="13"/>
      <c r="J732" s="13"/>
      <c r="N732" s="13"/>
    </row>
    <row r="733" customFormat="false" ht="14.25" hidden="false" customHeight="true" outlineLevel="0" collapsed="false">
      <c r="A733" s="13"/>
      <c r="B733" s="13"/>
      <c r="C733" s="13"/>
      <c r="E733" s="13"/>
      <c r="J733" s="13"/>
      <c r="N733" s="13"/>
    </row>
    <row r="734" customFormat="false" ht="14.25" hidden="false" customHeight="true" outlineLevel="0" collapsed="false">
      <c r="A734" s="13"/>
      <c r="B734" s="13"/>
      <c r="C734" s="13"/>
      <c r="E734" s="13"/>
      <c r="J734" s="13"/>
      <c r="N734" s="13"/>
    </row>
    <row r="735" customFormat="false" ht="14.25" hidden="false" customHeight="true" outlineLevel="0" collapsed="false">
      <c r="A735" s="13"/>
      <c r="B735" s="13"/>
      <c r="C735" s="13"/>
      <c r="E735" s="13"/>
      <c r="J735" s="13"/>
      <c r="N735" s="13"/>
    </row>
    <row r="736" customFormat="false" ht="14.25" hidden="false" customHeight="true" outlineLevel="0" collapsed="false">
      <c r="A736" s="13"/>
      <c r="B736" s="13"/>
      <c r="C736" s="13"/>
      <c r="E736" s="13"/>
      <c r="J736" s="13"/>
      <c r="N736" s="13"/>
    </row>
    <row r="737" customFormat="false" ht="14.25" hidden="false" customHeight="true" outlineLevel="0" collapsed="false">
      <c r="A737" s="13"/>
      <c r="B737" s="13"/>
      <c r="C737" s="13"/>
      <c r="E737" s="13"/>
      <c r="J737" s="13"/>
      <c r="N737" s="13"/>
    </row>
    <row r="738" customFormat="false" ht="14.25" hidden="false" customHeight="true" outlineLevel="0" collapsed="false">
      <c r="A738" s="13"/>
      <c r="B738" s="13"/>
      <c r="C738" s="13"/>
      <c r="E738" s="13"/>
      <c r="J738" s="13"/>
      <c r="N738" s="13"/>
    </row>
    <row r="739" customFormat="false" ht="14.25" hidden="false" customHeight="true" outlineLevel="0" collapsed="false">
      <c r="A739" s="13"/>
      <c r="B739" s="13"/>
      <c r="C739" s="13"/>
      <c r="E739" s="13"/>
      <c r="J739" s="13"/>
      <c r="N739" s="13"/>
    </row>
    <row r="740" customFormat="false" ht="14.25" hidden="false" customHeight="true" outlineLevel="0" collapsed="false">
      <c r="A740" s="13"/>
      <c r="B740" s="13"/>
      <c r="C740" s="13"/>
      <c r="E740" s="13"/>
      <c r="J740" s="13"/>
      <c r="N740" s="13"/>
    </row>
    <row r="741" customFormat="false" ht="14.25" hidden="false" customHeight="true" outlineLevel="0" collapsed="false">
      <c r="A741" s="13"/>
      <c r="B741" s="13"/>
      <c r="C741" s="13"/>
      <c r="E741" s="13"/>
      <c r="J741" s="13"/>
      <c r="N741" s="13"/>
    </row>
    <row r="742" customFormat="false" ht="14.25" hidden="false" customHeight="true" outlineLevel="0" collapsed="false">
      <c r="A742" s="13"/>
      <c r="B742" s="13"/>
      <c r="C742" s="13"/>
      <c r="E742" s="13"/>
      <c r="J742" s="13"/>
      <c r="N742" s="13"/>
    </row>
    <row r="743" customFormat="false" ht="14.25" hidden="false" customHeight="true" outlineLevel="0" collapsed="false">
      <c r="A743" s="13"/>
      <c r="B743" s="13"/>
      <c r="C743" s="13"/>
      <c r="E743" s="13"/>
      <c r="J743" s="13"/>
      <c r="N743" s="13"/>
    </row>
    <row r="744" customFormat="false" ht="14.25" hidden="false" customHeight="true" outlineLevel="0" collapsed="false">
      <c r="A744" s="13"/>
      <c r="B744" s="13"/>
      <c r="C744" s="13"/>
      <c r="E744" s="13"/>
      <c r="J744" s="13"/>
      <c r="N744" s="13"/>
    </row>
    <row r="745" customFormat="false" ht="14.25" hidden="false" customHeight="true" outlineLevel="0" collapsed="false">
      <c r="A745" s="13"/>
      <c r="B745" s="13"/>
      <c r="C745" s="13"/>
      <c r="E745" s="13"/>
      <c r="J745" s="13"/>
      <c r="N745" s="13"/>
    </row>
    <row r="746" customFormat="false" ht="14.25" hidden="false" customHeight="true" outlineLevel="0" collapsed="false">
      <c r="A746" s="13"/>
      <c r="B746" s="13"/>
      <c r="C746" s="13"/>
      <c r="E746" s="13"/>
      <c r="J746" s="13"/>
      <c r="N746" s="13"/>
    </row>
    <row r="747" customFormat="false" ht="14.25" hidden="false" customHeight="true" outlineLevel="0" collapsed="false">
      <c r="A747" s="13"/>
      <c r="B747" s="13"/>
      <c r="C747" s="13"/>
      <c r="E747" s="13"/>
      <c r="J747" s="13"/>
      <c r="N747" s="13"/>
    </row>
    <row r="748" customFormat="false" ht="14.25" hidden="false" customHeight="true" outlineLevel="0" collapsed="false">
      <c r="A748" s="13"/>
      <c r="B748" s="13"/>
      <c r="C748" s="13"/>
      <c r="E748" s="13"/>
      <c r="J748" s="13"/>
      <c r="N748" s="13"/>
    </row>
    <row r="749" customFormat="false" ht="14.25" hidden="false" customHeight="true" outlineLevel="0" collapsed="false">
      <c r="A749" s="13"/>
      <c r="B749" s="13"/>
      <c r="C749" s="13"/>
      <c r="E749" s="13"/>
      <c r="J749" s="13"/>
      <c r="N749" s="13"/>
    </row>
    <row r="750" customFormat="false" ht="14.25" hidden="false" customHeight="true" outlineLevel="0" collapsed="false">
      <c r="A750" s="13"/>
      <c r="B750" s="13"/>
      <c r="C750" s="13"/>
      <c r="E750" s="13"/>
      <c r="J750" s="13"/>
      <c r="N750" s="13"/>
    </row>
    <row r="751" customFormat="false" ht="14.25" hidden="false" customHeight="true" outlineLevel="0" collapsed="false">
      <c r="A751" s="13"/>
      <c r="B751" s="13"/>
      <c r="C751" s="13"/>
      <c r="E751" s="13"/>
      <c r="J751" s="13"/>
      <c r="N751" s="13"/>
    </row>
    <row r="752" customFormat="false" ht="14.25" hidden="false" customHeight="true" outlineLevel="0" collapsed="false">
      <c r="A752" s="13"/>
      <c r="B752" s="13"/>
      <c r="C752" s="13"/>
      <c r="E752" s="13"/>
      <c r="J752" s="13"/>
      <c r="N752" s="13"/>
    </row>
    <row r="753" customFormat="false" ht="14.25" hidden="false" customHeight="true" outlineLevel="0" collapsed="false">
      <c r="A753" s="13"/>
      <c r="B753" s="13"/>
      <c r="C753" s="13"/>
      <c r="E753" s="13"/>
      <c r="J753" s="13"/>
      <c r="N753" s="13"/>
    </row>
    <row r="754" customFormat="false" ht="14.25" hidden="false" customHeight="true" outlineLevel="0" collapsed="false">
      <c r="A754" s="13"/>
      <c r="B754" s="13"/>
      <c r="C754" s="13"/>
      <c r="E754" s="13"/>
      <c r="J754" s="13"/>
      <c r="N754" s="13"/>
    </row>
    <row r="755" customFormat="false" ht="14.25" hidden="false" customHeight="true" outlineLevel="0" collapsed="false">
      <c r="A755" s="13"/>
      <c r="B755" s="13"/>
      <c r="C755" s="13"/>
      <c r="E755" s="13"/>
      <c r="J755" s="13"/>
      <c r="N755" s="13"/>
    </row>
    <row r="756" customFormat="false" ht="14.25" hidden="false" customHeight="true" outlineLevel="0" collapsed="false">
      <c r="A756" s="13"/>
      <c r="B756" s="13"/>
      <c r="C756" s="13"/>
      <c r="E756" s="13"/>
      <c r="J756" s="13"/>
      <c r="N756" s="13"/>
    </row>
    <row r="757" customFormat="false" ht="14.25" hidden="false" customHeight="true" outlineLevel="0" collapsed="false">
      <c r="A757" s="13"/>
      <c r="B757" s="13"/>
      <c r="C757" s="13"/>
      <c r="E757" s="13"/>
      <c r="J757" s="13"/>
      <c r="N757" s="13"/>
    </row>
    <row r="758" customFormat="false" ht="14.25" hidden="false" customHeight="true" outlineLevel="0" collapsed="false">
      <c r="A758" s="13"/>
      <c r="B758" s="13"/>
      <c r="C758" s="13"/>
      <c r="E758" s="13"/>
      <c r="J758" s="13"/>
      <c r="N758" s="13"/>
    </row>
    <row r="759" customFormat="false" ht="14.25" hidden="false" customHeight="true" outlineLevel="0" collapsed="false">
      <c r="A759" s="13"/>
      <c r="B759" s="13"/>
      <c r="C759" s="13"/>
      <c r="E759" s="13"/>
      <c r="J759" s="13"/>
      <c r="N759" s="13"/>
    </row>
    <row r="760" customFormat="false" ht="14.25" hidden="false" customHeight="true" outlineLevel="0" collapsed="false">
      <c r="A760" s="13"/>
      <c r="B760" s="13"/>
      <c r="C760" s="13"/>
      <c r="E760" s="13"/>
      <c r="J760" s="13"/>
      <c r="N760" s="13"/>
    </row>
    <row r="761" customFormat="false" ht="14.25" hidden="false" customHeight="true" outlineLevel="0" collapsed="false">
      <c r="A761" s="13"/>
      <c r="B761" s="13"/>
      <c r="C761" s="13"/>
      <c r="E761" s="13"/>
      <c r="J761" s="13"/>
      <c r="N761" s="13"/>
    </row>
    <row r="762" customFormat="false" ht="14.25" hidden="false" customHeight="true" outlineLevel="0" collapsed="false">
      <c r="A762" s="13"/>
      <c r="B762" s="13"/>
      <c r="C762" s="13"/>
      <c r="E762" s="13"/>
      <c r="J762" s="13"/>
      <c r="N762" s="13"/>
    </row>
    <row r="763" customFormat="false" ht="14.25" hidden="false" customHeight="true" outlineLevel="0" collapsed="false">
      <c r="A763" s="13"/>
      <c r="B763" s="13"/>
      <c r="C763" s="13"/>
      <c r="E763" s="13"/>
      <c r="J763" s="13"/>
      <c r="N763" s="13"/>
    </row>
    <row r="764" customFormat="false" ht="14.25" hidden="false" customHeight="true" outlineLevel="0" collapsed="false">
      <c r="A764" s="13"/>
      <c r="B764" s="13"/>
      <c r="C764" s="13"/>
      <c r="E764" s="13"/>
      <c r="J764" s="13"/>
      <c r="N764" s="13"/>
    </row>
    <row r="765" customFormat="false" ht="14.25" hidden="false" customHeight="true" outlineLevel="0" collapsed="false">
      <c r="A765" s="13"/>
      <c r="B765" s="13"/>
      <c r="C765" s="13"/>
      <c r="E765" s="13"/>
      <c r="J765" s="13"/>
      <c r="N765" s="13"/>
    </row>
    <row r="766" customFormat="false" ht="14.25" hidden="false" customHeight="true" outlineLevel="0" collapsed="false">
      <c r="A766" s="13"/>
      <c r="B766" s="13"/>
      <c r="C766" s="13"/>
      <c r="E766" s="13"/>
      <c r="J766" s="13"/>
      <c r="N766" s="13"/>
    </row>
    <row r="767" customFormat="false" ht="14.25" hidden="false" customHeight="true" outlineLevel="0" collapsed="false">
      <c r="A767" s="13"/>
      <c r="B767" s="13"/>
      <c r="C767" s="13"/>
      <c r="E767" s="13"/>
      <c r="J767" s="13"/>
      <c r="N767" s="13"/>
    </row>
    <row r="768" customFormat="false" ht="14.25" hidden="false" customHeight="true" outlineLevel="0" collapsed="false">
      <c r="A768" s="13"/>
      <c r="B768" s="13"/>
      <c r="C768" s="13"/>
      <c r="E768" s="13"/>
      <c r="J768" s="13"/>
      <c r="N768" s="13"/>
    </row>
    <row r="769" customFormat="false" ht="14.25" hidden="false" customHeight="true" outlineLevel="0" collapsed="false">
      <c r="A769" s="13"/>
      <c r="B769" s="13"/>
      <c r="C769" s="13"/>
      <c r="E769" s="13"/>
      <c r="J769" s="13"/>
      <c r="N769" s="13"/>
    </row>
    <row r="770" customFormat="false" ht="14.25" hidden="false" customHeight="true" outlineLevel="0" collapsed="false">
      <c r="A770" s="13"/>
      <c r="B770" s="13"/>
      <c r="C770" s="13"/>
      <c r="E770" s="13"/>
      <c r="J770" s="13"/>
      <c r="N770" s="13"/>
    </row>
    <row r="771" customFormat="false" ht="14.25" hidden="false" customHeight="true" outlineLevel="0" collapsed="false">
      <c r="A771" s="13"/>
      <c r="B771" s="13"/>
      <c r="C771" s="13"/>
      <c r="E771" s="13"/>
      <c r="J771" s="13"/>
      <c r="N771" s="13"/>
    </row>
    <row r="772" customFormat="false" ht="14.25" hidden="false" customHeight="true" outlineLevel="0" collapsed="false">
      <c r="A772" s="13"/>
      <c r="B772" s="13"/>
      <c r="C772" s="13"/>
      <c r="E772" s="13"/>
      <c r="J772" s="13"/>
      <c r="N772" s="13"/>
    </row>
    <row r="773" customFormat="false" ht="14.25" hidden="false" customHeight="true" outlineLevel="0" collapsed="false">
      <c r="A773" s="13"/>
      <c r="B773" s="13"/>
      <c r="C773" s="13"/>
      <c r="E773" s="13"/>
      <c r="J773" s="13"/>
      <c r="N773" s="13"/>
    </row>
    <row r="774" customFormat="false" ht="14.25" hidden="false" customHeight="true" outlineLevel="0" collapsed="false">
      <c r="A774" s="13"/>
      <c r="B774" s="13"/>
      <c r="C774" s="13"/>
      <c r="E774" s="13"/>
      <c r="J774" s="13"/>
      <c r="N774" s="13"/>
    </row>
    <row r="775" customFormat="false" ht="14.25" hidden="false" customHeight="true" outlineLevel="0" collapsed="false">
      <c r="A775" s="13"/>
      <c r="B775" s="13"/>
      <c r="C775" s="13"/>
      <c r="E775" s="13"/>
      <c r="J775" s="13"/>
      <c r="N775" s="13"/>
    </row>
    <row r="776" customFormat="false" ht="14.25" hidden="false" customHeight="true" outlineLevel="0" collapsed="false">
      <c r="A776" s="13"/>
      <c r="B776" s="13"/>
      <c r="C776" s="13"/>
      <c r="E776" s="13"/>
      <c r="J776" s="13"/>
      <c r="N776" s="13"/>
    </row>
    <row r="777" customFormat="false" ht="14.25" hidden="false" customHeight="true" outlineLevel="0" collapsed="false">
      <c r="A777" s="13"/>
      <c r="B777" s="13"/>
      <c r="C777" s="13"/>
      <c r="E777" s="13"/>
      <c r="J777" s="13"/>
      <c r="N777" s="13"/>
    </row>
    <row r="778" customFormat="false" ht="14.25" hidden="false" customHeight="true" outlineLevel="0" collapsed="false">
      <c r="A778" s="13"/>
      <c r="B778" s="13"/>
      <c r="C778" s="13"/>
      <c r="E778" s="13"/>
      <c r="J778" s="13"/>
      <c r="N778" s="13"/>
    </row>
    <row r="779" customFormat="false" ht="14.25" hidden="false" customHeight="true" outlineLevel="0" collapsed="false">
      <c r="A779" s="13"/>
      <c r="B779" s="13"/>
      <c r="C779" s="13"/>
      <c r="E779" s="13"/>
      <c r="J779" s="13"/>
      <c r="N779" s="13"/>
    </row>
    <row r="780" customFormat="false" ht="14.25" hidden="false" customHeight="true" outlineLevel="0" collapsed="false">
      <c r="A780" s="13"/>
      <c r="B780" s="13"/>
      <c r="C780" s="13"/>
      <c r="E780" s="13"/>
      <c r="J780" s="13"/>
      <c r="N780" s="13"/>
    </row>
    <row r="781" customFormat="false" ht="14.25" hidden="false" customHeight="true" outlineLevel="0" collapsed="false">
      <c r="A781" s="13"/>
      <c r="B781" s="13"/>
      <c r="C781" s="13"/>
      <c r="E781" s="13"/>
      <c r="J781" s="13"/>
      <c r="N781" s="13"/>
    </row>
    <row r="782" customFormat="false" ht="14.25" hidden="false" customHeight="true" outlineLevel="0" collapsed="false">
      <c r="A782" s="13"/>
      <c r="B782" s="13"/>
      <c r="C782" s="13"/>
      <c r="E782" s="13"/>
      <c r="J782" s="13"/>
      <c r="N782" s="13"/>
    </row>
    <row r="783" customFormat="false" ht="14.25" hidden="false" customHeight="true" outlineLevel="0" collapsed="false">
      <c r="A783" s="13"/>
      <c r="B783" s="13"/>
      <c r="C783" s="13"/>
      <c r="E783" s="13"/>
      <c r="J783" s="13"/>
      <c r="N783" s="13"/>
    </row>
    <row r="784" customFormat="false" ht="14.25" hidden="false" customHeight="true" outlineLevel="0" collapsed="false">
      <c r="A784" s="13"/>
      <c r="B784" s="13"/>
      <c r="C784" s="13"/>
      <c r="E784" s="13"/>
      <c r="J784" s="13"/>
      <c r="N784" s="13"/>
    </row>
    <row r="785" customFormat="false" ht="14.25" hidden="false" customHeight="true" outlineLevel="0" collapsed="false">
      <c r="A785" s="13"/>
      <c r="B785" s="13"/>
      <c r="C785" s="13"/>
      <c r="E785" s="13"/>
      <c r="J785" s="13"/>
      <c r="N785" s="13"/>
    </row>
    <row r="786" customFormat="false" ht="14.25" hidden="false" customHeight="true" outlineLevel="0" collapsed="false">
      <c r="A786" s="13"/>
      <c r="B786" s="13"/>
      <c r="C786" s="13"/>
      <c r="E786" s="13"/>
      <c r="J786" s="13"/>
      <c r="N786" s="13"/>
    </row>
    <row r="787" customFormat="false" ht="14.25" hidden="false" customHeight="true" outlineLevel="0" collapsed="false">
      <c r="A787" s="13"/>
      <c r="B787" s="13"/>
      <c r="C787" s="13"/>
      <c r="E787" s="13"/>
      <c r="J787" s="13"/>
      <c r="N787" s="13"/>
    </row>
    <row r="788" customFormat="false" ht="14.25" hidden="false" customHeight="true" outlineLevel="0" collapsed="false">
      <c r="A788" s="13"/>
      <c r="B788" s="13"/>
      <c r="C788" s="13"/>
      <c r="E788" s="13"/>
      <c r="J788" s="13"/>
      <c r="N788" s="13"/>
    </row>
    <row r="789" customFormat="false" ht="14.25" hidden="false" customHeight="true" outlineLevel="0" collapsed="false">
      <c r="A789" s="13"/>
      <c r="B789" s="13"/>
      <c r="C789" s="13"/>
      <c r="E789" s="13"/>
      <c r="J789" s="13"/>
      <c r="N789" s="13"/>
    </row>
    <row r="790" customFormat="false" ht="14.25" hidden="false" customHeight="true" outlineLevel="0" collapsed="false">
      <c r="A790" s="13"/>
      <c r="B790" s="13"/>
      <c r="C790" s="13"/>
      <c r="E790" s="13"/>
      <c r="J790" s="13"/>
      <c r="N790" s="13"/>
    </row>
    <row r="791" customFormat="false" ht="14.25" hidden="false" customHeight="true" outlineLevel="0" collapsed="false">
      <c r="A791" s="13"/>
      <c r="B791" s="13"/>
      <c r="C791" s="13"/>
      <c r="E791" s="13"/>
      <c r="J791" s="13"/>
      <c r="N791" s="13"/>
    </row>
    <row r="792" customFormat="false" ht="14.25" hidden="false" customHeight="true" outlineLevel="0" collapsed="false">
      <c r="A792" s="13"/>
      <c r="B792" s="13"/>
      <c r="C792" s="13"/>
      <c r="E792" s="13"/>
      <c r="J792" s="13"/>
      <c r="N792" s="13"/>
    </row>
    <row r="793" customFormat="false" ht="14.25" hidden="false" customHeight="true" outlineLevel="0" collapsed="false">
      <c r="A793" s="13"/>
      <c r="B793" s="13"/>
      <c r="C793" s="13"/>
      <c r="E793" s="13"/>
      <c r="J793" s="13"/>
      <c r="N793" s="13"/>
    </row>
    <row r="794" customFormat="false" ht="14.25" hidden="false" customHeight="true" outlineLevel="0" collapsed="false">
      <c r="A794" s="13"/>
      <c r="B794" s="13"/>
      <c r="C794" s="13"/>
      <c r="E794" s="13"/>
      <c r="J794" s="13"/>
      <c r="N794" s="13"/>
    </row>
    <row r="795" customFormat="false" ht="14.25" hidden="false" customHeight="true" outlineLevel="0" collapsed="false">
      <c r="A795" s="13"/>
      <c r="B795" s="13"/>
      <c r="C795" s="13"/>
      <c r="E795" s="13"/>
      <c r="J795" s="13"/>
      <c r="N795" s="13"/>
    </row>
    <row r="796" customFormat="false" ht="14.25" hidden="false" customHeight="true" outlineLevel="0" collapsed="false">
      <c r="A796" s="13"/>
      <c r="B796" s="13"/>
      <c r="C796" s="13"/>
      <c r="E796" s="13"/>
      <c r="J796" s="13"/>
      <c r="N796" s="13"/>
    </row>
    <row r="797" customFormat="false" ht="14.25" hidden="false" customHeight="true" outlineLevel="0" collapsed="false">
      <c r="A797" s="13"/>
      <c r="B797" s="13"/>
      <c r="C797" s="13"/>
      <c r="E797" s="13"/>
      <c r="J797" s="13"/>
      <c r="N797" s="13"/>
    </row>
    <row r="798" customFormat="false" ht="14.25" hidden="false" customHeight="true" outlineLevel="0" collapsed="false">
      <c r="A798" s="13"/>
      <c r="B798" s="13"/>
      <c r="C798" s="13"/>
      <c r="E798" s="13"/>
      <c r="J798" s="13"/>
      <c r="N798" s="13"/>
    </row>
    <row r="799" customFormat="false" ht="14.25" hidden="false" customHeight="true" outlineLevel="0" collapsed="false">
      <c r="A799" s="13"/>
      <c r="B799" s="13"/>
      <c r="C799" s="13"/>
      <c r="E799" s="13"/>
      <c r="J799" s="13"/>
      <c r="N799" s="13"/>
    </row>
    <row r="800" customFormat="false" ht="14.25" hidden="false" customHeight="true" outlineLevel="0" collapsed="false">
      <c r="A800" s="13"/>
      <c r="B800" s="13"/>
      <c r="C800" s="13"/>
      <c r="E800" s="13"/>
      <c r="J800" s="13"/>
      <c r="N800" s="13"/>
    </row>
    <row r="801" customFormat="false" ht="14.25" hidden="false" customHeight="true" outlineLevel="0" collapsed="false">
      <c r="A801" s="13"/>
      <c r="B801" s="13"/>
      <c r="C801" s="13"/>
      <c r="E801" s="13"/>
      <c r="J801" s="13"/>
      <c r="N801" s="13"/>
    </row>
    <row r="802" customFormat="false" ht="14.25" hidden="false" customHeight="true" outlineLevel="0" collapsed="false">
      <c r="A802" s="13"/>
      <c r="B802" s="13"/>
      <c r="C802" s="13"/>
      <c r="E802" s="13"/>
      <c r="J802" s="13"/>
      <c r="N802" s="13"/>
    </row>
    <row r="803" customFormat="false" ht="14.25" hidden="false" customHeight="true" outlineLevel="0" collapsed="false">
      <c r="A803" s="13"/>
      <c r="B803" s="13"/>
      <c r="C803" s="13"/>
      <c r="E803" s="13"/>
      <c r="J803" s="13"/>
      <c r="N803" s="13"/>
    </row>
    <row r="804" customFormat="false" ht="14.25" hidden="false" customHeight="true" outlineLevel="0" collapsed="false">
      <c r="A804" s="13"/>
      <c r="B804" s="13"/>
      <c r="C804" s="13"/>
      <c r="E804" s="13"/>
      <c r="J804" s="13"/>
      <c r="N804" s="13"/>
    </row>
    <row r="805" customFormat="false" ht="14.25" hidden="false" customHeight="true" outlineLevel="0" collapsed="false">
      <c r="A805" s="13"/>
      <c r="B805" s="13"/>
      <c r="C805" s="13"/>
      <c r="E805" s="13"/>
      <c r="J805" s="13"/>
      <c r="N805" s="13"/>
    </row>
    <row r="806" customFormat="false" ht="14.25" hidden="false" customHeight="true" outlineLevel="0" collapsed="false">
      <c r="A806" s="13"/>
      <c r="B806" s="13"/>
      <c r="C806" s="13"/>
      <c r="E806" s="13"/>
      <c r="J806" s="13"/>
      <c r="N806" s="13"/>
    </row>
    <row r="807" customFormat="false" ht="14.25" hidden="false" customHeight="true" outlineLevel="0" collapsed="false">
      <c r="A807" s="13"/>
      <c r="B807" s="13"/>
      <c r="C807" s="13"/>
      <c r="E807" s="13"/>
      <c r="J807" s="13"/>
      <c r="N807" s="13"/>
    </row>
    <row r="808" customFormat="false" ht="14.25" hidden="false" customHeight="true" outlineLevel="0" collapsed="false">
      <c r="A808" s="13"/>
      <c r="B808" s="13"/>
      <c r="C808" s="13"/>
      <c r="E808" s="13"/>
      <c r="J808" s="13"/>
      <c r="N808" s="13"/>
    </row>
    <row r="809" customFormat="false" ht="14.25" hidden="false" customHeight="true" outlineLevel="0" collapsed="false">
      <c r="A809" s="13"/>
      <c r="B809" s="13"/>
      <c r="C809" s="13"/>
      <c r="E809" s="13"/>
      <c r="J809" s="13"/>
      <c r="N809" s="13"/>
    </row>
    <row r="810" customFormat="false" ht="14.25" hidden="false" customHeight="true" outlineLevel="0" collapsed="false">
      <c r="A810" s="13"/>
      <c r="B810" s="13"/>
      <c r="C810" s="13"/>
      <c r="E810" s="13"/>
      <c r="J810" s="13"/>
      <c r="N810" s="13"/>
    </row>
    <row r="811" customFormat="false" ht="14.25" hidden="false" customHeight="true" outlineLevel="0" collapsed="false">
      <c r="A811" s="13"/>
      <c r="B811" s="13"/>
      <c r="C811" s="13"/>
      <c r="E811" s="13"/>
      <c r="J811" s="13"/>
      <c r="N811" s="13"/>
    </row>
    <row r="812" customFormat="false" ht="14.25" hidden="false" customHeight="true" outlineLevel="0" collapsed="false">
      <c r="A812" s="13"/>
      <c r="B812" s="13"/>
      <c r="C812" s="13"/>
      <c r="E812" s="13"/>
      <c r="J812" s="13"/>
      <c r="N812" s="13"/>
    </row>
    <row r="813" customFormat="false" ht="14.25" hidden="false" customHeight="true" outlineLevel="0" collapsed="false">
      <c r="A813" s="13"/>
      <c r="B813" s="13"/>
      <c r="C813" s="13"/>
      <c r="E813" s="13"/>
      <c r="J813" s="13"/>
      <c r="N813" s="13"/>
    </row>
    <row r="814" customFormat="false" ht="14.25" hidden="false" customHeight="true" outlineLevel="0" collapsed="false">
      <c r="A814" s="13"/>
      <c r="B814" s="13"/>
      <c r="C814" s="13"/>
      <c r="E814" s="13"/>
      <c r="J814" s="13"/>
      <c r="N814" s="13"/>
    </row>
    <row r="815" customFormat="false" ht="14.25" hidden="false" customHeight="true" outlineLevel="0" collapsed="false">
      <c r="A815" s="13"/>
      <c r="B815" s="13"/>
      <c r="C815" s="13"/>
      <c r="E815" s="13"/>
      <c r="J815" s="13"/>
      <c r="N815" s="13"/>
    </row>
    <row r="816" customFormat="false" ht="14.25" hidden="false" customHeight="true" outlineLevel="0" collapsed="false">
      <c r="A816" s="13"/>
      <c r="B816" s="13"/>
      <c r="C816" s="13"/>
      <c r="E816" s="13"/>
      <c r="J816" s="13"/>
      <c r="N816" s="13"/>
    </row>
    <row r="817" customFormat="false" ht="14.25" hidden="false" customHeight="true" outlineLevel="0" collapsed="false">
      <c r="A817" s="13"/>
      <c r="B817" s="13"/>
      <c r="C817" s="13"/>
      <c r="E817" s="13"/>
      <c r="J817" s="13"/>
      <c r="N817" s="13"/>
    </row>
    <row r="818" customFormat="false" ht="14.25" hidden="false" customHeight="true" outlineLevel="0" collapsed="false">
      <c r="A818" s="13"/>
      <c r="B818" s="13"/>
      <c r="C818" s="13"/>
      <c r="E818" s="13"/>
      <c r="J818" s="13"/>
      <c r="N818" s="13"/>
    </row>
    <row r="819" customFormat="false" ht="14.25" hidden="false" customHeight="true" outlineLevel="0" collapsed="false">
      <c r="A819" s="13"/>
      <c r="B819" s="13"/>
      <c r="C819" s="13"/>
      <c r="E819" s="13"/>
      <c r="J819" s="13"/>
      <c r="N819" s="13"/>
    </row>
    <row r="820" customFormat="false" ht="14.25" hidden="false" customHeight="true" outlineLevel="0" collapsed="false">
      <c r="A820" s="13"/>
      <c r="B820" s="13"/>
      <c r="C820" s="13"/>
      <c r="E820" s="13"/>
      <c r="J820" s="13"/>
      <c r="N820" s="13"/>
    </row>
    <row r="821" customFormat="false" ht="14.25" hidden="false" customHeight="true" outlineLevel="0" collapsed="false">
      <c r="A821" s="13"/>
      <c r="B821" s="13"/>
      <c r="C821" s="13"/>
      <c r="E821" s="13"/>
      <c r="J821" s="13"/>
      <c r="N821" s="13"/>
    </row>
    <row r="822" customFormat="false" ht="14.25" hidden="false" customHeight="true" outlineLevel="0" collapsed="false">
      <c r="A822" s="13"/>
      <c r="B822" s="13"/>
      <c r="C822" s="13"/>
      <c r="E822" s="13"/>
      <c r="J822" s="13"/>
      <c r="N822" s="13"/>
    </row>
    <row r="823" customFormat="false" ht="14.25" hidden="false" customHeight="true" outlineLevel="0" collapsed="false">
      <c r="A823" s="13"/>
      <c r="B823" s="13"/>
      <c r="C823" s="13"/>
      <c r="E823" s="13"/>
      <c r="J823" s="13"/>
      <c r="N823" s="13"/>
    </row>
    <row r="824" customFormat="false" ht="14.25" hidden="false" customHeight="true" outlineLevel="0" collapsed="false">
      <c r="A824" s="13"/>
      <c r="B824" s="13"/>
      <c r="C824" s="13"/>
      <c r="E824" s="13"/>
      <c r="J824" s="13"/>
      <c r="N824" s="13"/>
    </row>
    <row r="825" customFormat="false" ht="14.25" hidden="false" customHeight="true" outlineLevel="0" collapsed="false">
      <c r="A825" s="13"/>
      <c r="B825" s="13"/>
      <c r="C825" s="13"/>
      <c r="E825" s="13"/>
      <c r="J825" s="13"/>
      <c r="N825" s="13"/>
    </row>
    <row r="826" customFormat="false" ht="14.25" hidden="false" customHeight="true" outlineLevel="0" collapsed="false">
      <c r="A826" s="13"/>
      <c r="B826" s="13"/>
      <c r="C826" s="13"/>
      <c r="E826" s="13"/>
      <c r="J826" s="13"/>
      <c r="N826" s="13"/>
    </row>
    <row r="827" customFormat="false" ht="14.25" hidden="false" customHeight="true" outlineLevel="0" collapsed="false">
      <c r="A827" s="13"/>
      <c r="B827" s="13"/>
      <c r="C827" s="13"/>
      <c r="E827" s="13"/>
      <c r="J827" s="13"/>
      <c r="N827" s="13"/>
    </row>
    <row r="828" customFormat="false" ht="14.25" hidden="false" customHeight="true" outlineLevel="0" collapsed="false">
      <c r="A828" s="13"/>
      <c r="B828" s="13"/>
      <c r="C828" s="13"/>
      <c r="E828" s="13"/>
      <c r="J828" s="13"/>
      <c r="N828" s="13"/>
    </row>
    <row r="829" customFormat="false" ht="14.25" hidden="false" customHeight="true" outlineLevel="0" collapsed="false">
      <c r="A829" s="13"/>
      <c r="B829" s="13"/>
      <c r="C829" s="13"/>
      <c r="E829" s="13"/>
      <c r="J829" s="13"/>
      <c r="N829" s="13"/>
    </row>
    <row r="830" customFormat="false" ht="14.25" hidden="false" customHeight="true" outlineLevel="0" collapsed="false">
      <c r="A830" s="13"/>
      <c r="B830" s="13"/>
      <c r="C830" s="13"/>
      <c r="E830" s="13"/>
      <c r="J830" s="13"/>
      <c r="N830" s="13"/>
    </row>
    <row r="831" customFormat="false" ht="14.25" hidden="false" customHeight="true" outlineLevel="0" collapsed="false">
      <c r="A831" s="13"/>
      <c r="B831" s="13"/>
      <c r="C831" s="13"/>
      <c r="E831" s="13"/>
      <c r="J831" s="13"/>
      <c r="N831" s="13"/>
    </row>
    <row r="832" customFormat="false" ht="14.25" hidden="false" customHeight="true" outlineLevel="0" collapsed="false">
      <c r="A832" s="13"/>
      <c r="B832" s="13"/>
      <c r="C832" s="13"/>
      <c r="E832" s="13"/>
      <c r="J832" s="13"/>
      <c r="N832" s="13"/>
    </row>
    <row r="833" customFormat="false" ht="14.25" hidden="false" customHeight="true" outlineLevel="0" collapsed="false">
      <c r="A833" s="13"/>
      <c r="B833" s="13"/>
      <c r="C833" s="13"/>
      <c r="E833" s="13"/>
      <c r="J833" s="13"/>
      <c r="N833" s="13"/>
    </row>
    <row r="834" customFormat="false" ht="14.25" hidden="false" customHeight="true" outlineLevel="0" collapsed="false">
      <c r="A834" s="13"/>
      <c r="B834" s="13"/>
      <c r="C834" s="13"/>
      <c r="E834" s="13"/>
      <c r="J834" s="13"/>
      <c r="N834" s="13"/>
    </row>
    <row r="835" customFormat="false" ht="14.25" hidden="false" customHeight="true" outlineLevel="0" collapsed="false">
      <c r="A835" s="13"/>
      <c r="B835" s="13"/>
      <c r="C835" s="13"/>
      <c r="E835" s="13"/>
      <c r="J835" s="13"/>
      <c r="N835" s="13"/>
    </row>
    <row r="836" customFormat="false" ht="14.25" hidden="false" customHeight="true" outlineLevel="0" collapsed="false">
      <c r="A836" s="13"/>
      <c r="B836" s="13"/>
      <c r="C836" s="13"/>
      <c r="E836" s="13"/>
      <c r="J836" s="13"/>
      <c r="N836" s="13"/>
    </row>
    <row r="837" customFormat="false" ht="14.25" hidden="false" customHeight="true" outlineLevel="0" collapsed="false">
      <c r="A837" s="13"/>
      <c r="B837" s="13"/>
      <c r="C837" s="13"/>
      <c r="E837" s="13"/>
      <c r="J837" s="13"/>
      <c r="N837" s="13"/>
    </row>
    <row r="838" customFormat="false" ht="14.25" hidden="false" customHeight="true" outlineLevel="0" collapsed="false">
      <c r="A838" s="13"/>
      <c r="B838" s="13"/>
      <c r="C838" s="13"/>
      <c r="E838" s="13"/>
      <c r="J838" s="13"/>
      <c r="N838" s="13"/>
    </row>
    <row r="839" customFormat="false" ht="14.25" hidden="false" customHeight="true" outlineLevel="0" collapsed="false">
      <c r="A839" s="13"/>
      <c r="B839" s="13"/>
      <c r="C839" s="13"/>
      <c r="E839" s="13"/>
      <c r="J839" s="13"/>
      <c r="N839" s="13"/>
    </row>
    <row r="840" customFormat="false" ht="14.25" hidden="false" customHeight="true" outlineLevel="0" collapsed="false">
      <c r="A840" s="13"/>
      <c r="B840" s="13"/>
      <c r="C840" s="13"/>
      <c r="E840" s="13"/>
      <c r="J840" s="13"/>
      <c r="N840" s="13"/>
    </row>
    <row r="841" customFormat="false" ht="14.25" hidden="false" customHeight="true" outlineLevel="0" collapsed="false">
      <c r="A841" s="13"/>
      <c r="B841" s="13"/>
      <c r="C841" s="13"/>
      <c r="E841" s="13"/>
      <c r="J841" s="13"/>
      <c r="N841" s="13"/>
    </row>
    <row r="842" customFormat="false" ht="14.25" hidden="false" customHeight="true" outlineLevel="0" collapsed="false">
      <c r="A842" s="13"/>
      <c r="B842" s="13"/>
      <c r="C842" s="13"/>
      <c r="E842" s="13"/>
      <c r="J842" s="13"/>
      <c r="N842" s="13"/>
    </row>
    <row r="843" customFormat="false" ht="14.25" hidden="false" customHeight="true" outlineLevel="0" collapsed="false">
      <c r="A843" s="13"/>
      <c r="B843" s="13"/>
      <c r="C843" s="13"/>
      <c r="E843" s="13"/>
      <c r="J843" s="13"/>
      <c r="N843" s="13"/>
    </row>
    <row r="844" customFormat="false" ht="14.25" hidden="false" customHeight="true" outlineLevel="0" collapsed="false">
      <c r="A844" s="13"/>
      <c r="B844" s="13"/>
      <c r="C844" s="13"/>
      <c r="E844" s="13"/>
      <c r="J844" s="13"/>
      <c r="N844" s="13"/>
    </row>
    <row r="845" customFormat="false" ht="14.25" hidden="false" customHeight="true" outlineLevel="0" collapsed="false">
      <c r="A845" s="13"/>
      <c r="B845" s="13"/>
      <c r="C845" s="13"/>
      <c r="E845" s="13"/>
      <c r="J845" s="13"/>
      <c r="N845" s="13"/>
    </row>
    <row r="846" customFormat="false" ht="14.25" hidden="false" customHeight="true" outlineLevel="0" collapsed="false">
      <c r="A846" s="13"/>
      <c r="B846" s="13"/>
      <c r="C846" s="13"/>
      <c r="E846" s="13"/>
      <c r="J846" s="13"/>
      <c r="N846" s="13"/>
    </row>
    <row r="847" customFormat="false" ht="14.25" hidden="false" customHeight="true" outlineLevel="0" collapsed="false">
      <c r="A847" s="13"/>
      <c r="B847" s="13"/>
      <c r="C847" s="13"/>
      <c r="E847" s="13"/>
      <c r="J847" s="13"/>
      <c r="N847" s="13"/>
    </row>
    <row r="848" customFormat="false" ht="14.25" hidden="false" customHeight="true" outlineLevel="0" collapsed="false">
      <c r="A848" s="13"/>
      <c r="B848" s="13"/>
      <c r="C848" s="13"/>
      <c r="E848" s="13"/>
      <c r="J848" s="13"/>
      <c r="N848" s="13"/>
    </row>
    <row r="849" customFormat="false" ht="14.25" hidden="false" customHeight="true" outlineLevel="0" collapsed="false">
      <c r="A849" s="13"/>
      <c r="B849" s="13"/>
      <c r="C849" s="13"/>
      <c r="E849" s="13"/>
      <c r="J849" s="13"/>
      <c r="N849" s="13"/>
    </row>
    <row r="850" customFormat="false" ht="14.25" hidden="false" customHeight="true" outlineLevel="0" collapsed="false">
      <c r="A850" s="13"/>
      <c r="B850" s="13"/>
      <c r="C850" s="13"/>
      <c r="E850" s="13"/>
      <c r="J850" s="13"/>
      <c r="N850" s="13"/>
    </row>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A2:A650">
    <cfRule type="expression" priority="2" aboveAverage="0" equalAverage="0" bottom="0" percent="0" rank="0" text="" dxfId="0">
      <formula>ISNA(VLOOKUP($A2,$B$1:$B$19950,1,0))</formula>
    </cfRule>
  </conditionalFormatting>
  <conditionalFormatting sqref="B2:B650">
    <cfRule type="expression" priority="3" aboveAverage="0" equalAverage="0" bottom="0" percent="0" rank="0" text="" dxfId="0">
      <formula>ISNA(VLOOKUP($B2,$C$1:$C$19950,1,0))</formula>
    </cfRule>
  </conditionalFormatting>
  <conditionalFormatting sqref="C2:C650">
    <cfRule type="expression" priority="4" aboveAverage="0" equalAverage="0" bottom="0" percent="0" rank="0" text="" dxfId="0">
      <formula>ISNA(VLOOKUP($C2,$A$1:$A$19950,1,0))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3.01"/>
    <col collapsed="false" customWidth="true" hidden="false" outlineLevel="0" max="2" min="2" style="0" width="11.99"/>
    <col collapsed="false" customWidth="true" hidden="false" outlineLevel="0" max="3" min="3" style="0" width="11.3"/>
    <col collapsed="false" customWidth="true" hidden="false" outlineLevel="0" max="4" min="4" style="0" width="20.57"/>
    <col collapsed="false" customWidth="true" hidden="false" outlineLevel="0" max="5" min="5" style="0" width="42.71"/>
    <col collapsed="false" customWidth="true" hidden="false" outlineLevel="0" max="6" min="6" style="0" width="22.01"/>
    <col collapsed="false" customWidth="true" hidden="false" outlineLevel="0" max="7" min="7" style="0" width="21.57"/>
    <col collapsed="false" customWidth="true" hidden="false" outlineLevel="0" max="8" min="8" style="0" width="29.43"/>
    <col collapsed="false" customWidth="true" hidden="false" outlineLevel="0" max="9" min="9" style="0" width="20.99"/>
    <col collapsed="false" customWidth="true" hidden="false" outlineLevel="0" max="10" min="10" style="0" width="9"/>
    <col collapsed="false" customWidth="true" hidden="false" outlineLevel="0" max="26" min="11" style="0" width="8.71"/>
  </cols>
  <sheetData>
    <row r="1" customFormat="false" ht="65.25" hidden="false" customHeight="true" outlineLevel="0" collapsed="false">
      <c r="A1" s="15" t="s">
        <v>1222</v>
      </c>
      <c r="B1" s="15" t="s">
        <v>1223</v>
      </c>
      <c r="C1" s="15" t="s">
        <v>1224</v>
      </c>
      <c r="D1" s="15" t="s">
        <v>1225</v>
      </c>
      <c r="E1" s="15" t="s">
        <v>1226</v>
      </c>
      <c r="F1" s="15" t="s">
        <v>1227</v>
      </c>
      <c r="G1" s="15" t="s">
        <v>1228</v>
      </c>
      <c r="H1" s="15" t="s">
        <v>1229</v>
      </c>
      <c r="I1" s="15" t="s">
        <v>1230</v>
      </c>
      <c r="J1" s="15" t="s">
        <v>130</v>
      </c>
      <c r="K1" s="4"/>
      <c r="L1" s="4"/>
      <c r="M1" s="4"/>
      <c r="N1" s="4"/>
      <c r="O1" s="4"/>
      <c r="P1" s="4"/>
      <c r="Q1" s="4"/>
      <c r="R1" s="4"/>
      <c r="S1" s="4"/>
      <c r="T1" s="4"/>
      <c r="U1" s="4"/>
      <c r="V1" s="4"/>
      <c r="W1" s="4"/>
      <c r="X1" s="4"/>
      <c r="Y1" s="4"/>
      <c r="Z1" s="4"/>
    </row>
    <row r="2" customFormat="false" ht="14.25" hidden="false" customHeight="true" outlineLevel="0" collapsed="false">
      <c r="D2" s="9" t="str">
        <f aca="false">HYPERLINK("https://vtmf.veevavault.com/ui/#doc_info/23562428/1/0", "61186372NSC2002-KOR-AI1-KR10001-Financial Disclosure Form-01 Feb 2023 (v1.0)")</f>
        <v>61186372NSC2002-KOR-AI1-KR10001-Financial Disclosure Form-01 Feb 2023 (v1.0)</v>
      </c>
      <c r="E2" s="8" t="s">
        <v>1231</v>
      </c>
      <c r="F2" s="9" t="str">
        <f aca="false">HYPERLINK("https://vtmf.veevavault.com/ui/#doc_info/23562428/1/0", "VTMF-18647829")</f>
        <v>VTMF-18647829</v>
      </c>
      <c r="G2" s="9" t="str">
        <f aca="false">HYPERLINK("https://vtmf.veevavault.com/ui/#doc_info/22664569/1/0", "61186372NSC2002-KOR-AI1-KR10001-Principal Investigator Curriculum Vitae-05 Sep 2022 (v1.0)")</f>
        <v>61186372NSC2002-KOR-AI1-KR10001-Principal Investigator Curriculum Vitae-05 Sep 2022 (v1.0)</v>
      </c>
      <c r="H2" s="8" t="s">
        <v>1232</v>
      </c>
      <c r="I2" s="9" t="str">
        <f aca="false">HYPERLINK("https://vtmf.veevavault.com/ui/#doc_info/22664569/1/0", "VTMF-17869656")</f>
        <v>VTMF-17869656</v>
      </c>
    </row>
    <row r="3" customFormat="false" ht="14.25" hidden="false" customHeight="true" outlineLevel="0" collapsed="false">
      <c r="D3" s="9" t="str">
        <f aca="false">HYPERLINK("https://vtmf.veevavault.com/ui/#doc_info/23562429/1/0", "61186372NSC2002-KOR-AI1-KR10001-Financial Disclosure Form-01 Feb 2023 (v1.0)")</f>
        <v>61186372NSC2002-KOR-AI1-KR10001-Financial Disclosure Form-01 Feb 2023 (v1.0)</v>
      </c>
      <c r="E3" s="8" t="s">
        <v>1233</v>
      </c>
      <c r="F3" s="9" t="str">
        <f aca="false">HYPERLINK("https://vtmf.veevavault.com/ui/#doc_info/23562429/1/0", "VTMF-18647830")</f>
        <v>VTMF-18647830</v>
      </c>
      <c r="G3" s="9" t="str">
        <f aca="false">HYPERLINK("https://vtmf.veevavault.com/ui/#doc_info/23562469/1/0", "61186372NSC2002-KOR-AI1-KR10001-Sub-Investigator Curriculum Vitae-01 Feb 2023 (v1.0)")</f>
        <v>61186372NSC2002-KOR-AI1-KR10001-Sub-Investigator Curriculum Vitae-01 Feb 2023 (v1.0)</v>
      </c>
      <c r="H3" s="8" t="s">
        <v>1234</v>
      </c>
      <c r="I3" s="9" t="str">
        <f aca="false">HYPERLINK("https://vtmf.veevavault.com/ui/#doc_info/23562469/1/0", "VTMF-18647870")</f>
        <v>VTMF-18647870</v>
      </c>
    </row>
    <row r="4" customFormat="false" ht="14.25" hidden="false" customHeight="true" outlineLevel="0" collapsed="false">
      <c r="D4" s="9" t="str">
        <f aca="false">HYPERLINK("https://vtmf.veevavault.com/ui/#doc_info/23562430/1/0", "61186372NSC2002-KOR-AI1-KR10001-Financial Disclosure Form-01 Feb 2023 (v1.0)")</f>
        <v>61186372NSC2002-KOR-AI1-KR10001-Financial Disclosure Form-01 Feb 2023 (v1.0)</v>
      </c>
      <c r="E4" s="8" t="s">
        <v>1235</v>
      </c>
      <c r="F4" s="9" t="str">
        <f aca="false">HYPERLINK("https://vtmf.veevavault.com/ui/#doc_info/23562430/1/0", "VTMF-18647831")</f>
        <v>VTMF-18647831</v>
      </c>
      <c r="G4" s="9" t="str">
        <f aca="false">HYPERLINK("https://vtmf.veevavault.com/ui/#doc_info/23562470/1/0", "61186372NSC2002-KOR-AI1-KR10001-Sub-Investigator Curriculum Vitae-01 Feb 2023 (v1.0)")</f>
        <v>61186372NSC2002-KOR-AI1-KR10001-Sub-Investigator Curriculum Vitae-01 Feb 2023 (v1.0)</v>
      </c>
      <c r="H4" s="8" t="s">
        <v>1236</v>
      </c>
      <c r="I4" s="9" t="str">
        <f aca="false">HYPERLINK("https://vtmf.veevavault.com/ui/#doc_info/23562470/1/0", "VTMF-18647871")</f>
        <v>VTMF-18647871</v>
      </c>
    </row>
    <row r="5" customFormat="false" ht="14.25" hidden="false" customHeight="true" outlineLevel="0" collapsed="false">
      <c r="D5" s="9" t="str">
        <f aca="false">HYPERLINK("https://vtmf.veevavault.com/ui/#doc_info/23562432/1/0", "61186372NSC2002-KOR-AI1-KR10001-Financial Disclosure Form-01 Feb 2023 (v1.0)")</f>
        <v>61186372NSC2002-KOR-AI1-KR10001-Financial Disclosure Form-01 Feb 2023 (v1.0)</v>
      </c>
      <c r="E5" s="8" t="s">
        <v>1237</v>
      </c>
      <c r="F5" s="9" t="str">
        <f aca="false">HYPERLINK("https://vtmf.veevavault.com/ui/#doc_info/23562432/1/0", "VTMF-18647833")</f>
        <v>VTMF-18647833</v>
      </c>
      <c r="G5" s="9" t="str">
        <f aca="false">HYPERLINK("https://vtmf.veevavault.com/ui/#doc_info/23562471/1/0", "61186372NSC2002-KOR-AI1-KR10001-Sub-Investigator Curriculum Vitae-01 Feb 2023 (v1.0)")</f>
        <v>61186372NSC2002-KOR-AI1-KR10001-Sub-Investigator Curriculum Vitae-01 Feb 2023 (v1.0)</v>
      </c>
      <c r="H5" s="8" t="s">
        <v>1238</v>
      </c>
      <c r="I5" s="9" t="str">
        <f aca="false">HYPERLINK("https://vtmf.veevavault.com/ui/#doc_info/23562471/1/0", "VTMF-18647872")</f>
        <v>VTMF-18647872</v>
      </c>
    </row>
    <row r="6" customFormat="false" ht="14.25" hidden="false" customHeight="true" outlineLevel="0" collapsed="false">
      <c r="D6" s="9" t="str">
        <f aca="false">HYPERLINK("https://vtmf.veevavault.com/ui/#doc_info/23572208/1/0", "61186372NSC2002-KOR-AI1-KR10001-Financial Disclosure Form-01 Feb 2023 (v1.0)")</f>
        <v>61186372NSC2002-KOR-AI1-KR10001-Financial Disclosure Form-01 Feb 2023 (v1.0)</v>
      </c>
      <c r="E6" s="8" t="s">
        <v>1239</v>
      </c>
      <c r="F6" s="9" t="str">
        <f aca="false">HYPERLINK("https://vtmf.veevavault.com/ui/#doc_info/23572208/1/0", "VTMF-18656136")</f>
        <v>VTMF-18656136</v>
      </c>
      <c r="G6" s="9" t="str">
        <f aca="false">HYPERLINK("https://vtmf.veevavault.com/ui/#doc_info/23564784/1/0", "61186372NSC2002-KOR-AI1-KR10001-Sub-Investigator Curriculum Vitae-01 Feb 2023 (v1.0)")</f>
        <v>61186372NSC2002-KOR-AI1-KR10001-Sub-Investigator Curriculum Vitae-01 Feb 2023 (v1.0)</v>
      </c>
      <c r="H6" s="8" t="s">
        <v>1240</v>
      </c>
      <c r="I6" s="9" t="str">
        <f aca="false">HYPERLINK("https://vtmf.veevavault.com/ui/#doc_info/23564784/1/0", "VTMF-18649760")</f>
        <v>VTMF-18649760</v>
      </c>
    </row>
    <row r="7" customFormat="false" ht="14.25" hidden="false" customHeight="true" outlineLevel="0" collapsed="false">
      <c r="G7" s="9" t="str">
        <f aca="false">HYPERLINK("https://vtmf.veevavault.com/ui/#doc_info/22443688/1/0", "61186372NSC2002-KOR-AI1-KR10001-Sub-Investigator Curriculum Vitae-28 Jul 2022 (v1.0)")</f>
        <v>61186372NSC2002-KOR-AI1-KR10001-Sub-Investigator Curriculum Vitae-28 Jul 2022 (v1.0)</v>
      </c>
      <c r="H7" s="8" t="s">
        <v>1241</v>
      </c>
      <c r="I7" s="9" t="str">
        <f aca="false">HYPERLINK("https://vtmf.veevavault.com/ui/#doc_info/22443688/1/0", "VTMF-17678774")</f>
        <v>VTMF-17678774</v>
      </c>
    </row>
    <row r="8" customFormat="false" ht="14.25" hidden="false" customHeight="true" outlineLevel="0" collapsed="false">
      <c r="G8" s="9" t="str">
        <f aca="false">HYPERLINK("https://vtmf.veevavault.com/ui/#doc_info/26399936/0/1", "NE - 61186372NSC2002-KOR-AI1-KR10001-Working Documents (v0.1)")</f>
        <v>NE - 61186372NSC2002-KOR-AI1-KR10001-Working Documents (v0.1)</v>
      </c>
      <c r="H8" s="8" t="s">
        <v>1242</v>
      </c>
      <c r="I8" s="9" t="str">
        <f aca="false">HYPERLINK("https://vtmf.veevavault.com/ui/#doc_info/26399936/0/1", "VTMF-21129051")</f>
        <v>VTMF-21129051</v>
      </c>
    </row>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9.86"/>
    <col collapsed="false" customWidth="true" hidden="false" outlineLevel="0" max="2" min="2" style="0" width="12.14"/>
    <col collapsed="false" customWidth="true" hidden="false" outlineLevel="0" max="3" min="3" style="0" width="7.57"/>
    <col collapsed="false" customWidth="true" hidden="false" outlineLevel="0" max="4" min="4" style="0" width="31.14"/>
    <col collapsed="false" customWidth="true" hidden="false" outlineLevel="0" max="5" min="5" style="0" width="15.14"/>
    <col collapsed="false" customWidth="true" hidden="false" outlineLevel="0" max="6" min="6" style="0" width="9.43"/>
    <col collapsed="false" customWidth="true" hidden="false" outlineLevel="0" max="7" min="7" style="0" width="20.86"/>
    <col collapsed="false" customWidth="true" hidden="false" outlineLevel="0" max="8" min="8" style="0" width="9.71"/>
    <col collapsed="false" customWidth="true" hidden="false" outlineLevel="0" max="9" min="9" style="0" width="8.43"/>
    <col collapsed="false" customWidth="true" hidden="false" outlineLevel="0" max="10" min="10" style="0" width="4.43"/>
    <col collapsed="false" customWidth="true" hidden="false" outlineLevel="0" max="11" min="11" style="0" width="7.57"/>
    <col collapsed="false" customWidth="true" hidden="false" outlineLevel="0" max="12" min="12" style="0" width="8.14"/>
    <col collapsed="false" customWidth="true" hidden="false" outlineLevel="0" max="13" min="13" style="0" width="11.3"/>
    <col collapsed="false" customWidth="true" hidden="false" outlineLevel="0" max="14" min="14" style="0" width="14.01"/>
    <col collapsed="false" customWidth="true" hidden="false" outlineLevel="0" max="15" min="15" style="0" width="20.3"/>
    <col collapsed="false" customWidth="true" hidden="false" outlineLevel="0" max="16" min="16" style="0" width="13.01"/>
  </cols>
  <sheetData>
    <row r="1" customFormat="false" ht="15" hidden="false" customHeight="false" outlineLevel="0" collapsed="false">
      <c r="A1" s="16" t="s">
        <v>1243</v>
      </c>
      <c r="B1" s="16" t="s">
        <v>1244</v>
      </c>
      <c r="C1" s="16" t="s">
        <v>1245</v>
      </c>
      <c r="D1" s="16" t="s">
        <v>1246</v>
      </c>
      <c r="E1" s="16" t="s">
        <v>1247</v>
      </c>
      <c r="F1" s="16" t="s">
        <v>1248</v>
      </c>
      <c r="G1" s="16" t="s">
        <v>1249</v>
      </c>
      <c r="H1" s="17" t="s">
        <v>1250</v>
      </c>
      <c r="I1" s="17" t="s">
        <v>1251</v>
      </c>
      <c r="J1" s="17" t="s">
        <v>1252</v>
      </c>
      <c r="K1" s="17" t="s">
        <v>1253</v>
      </c>
      <c r="L1" s="17" t="s">
        <v>1254</v>
      </c>
      <c r="M1" s="17" t="s">
        <v>1255</v>
      </c>
      <c r="N1" s="17" t="s">
        <v>1256</v>
      </c>
      <c r="O1" s="17" t="s">
        <v>1257</v>
      </c>
      <c r="P1" s="17" t="s">
        <v>1258</v>
      </c>
    </row>
    <row r="2" customFormat="false" ht="14.25" hidden="false" customHeight="true" outlineLevel="0" collapsed="false">
      <c r="A2" s="3" t="s">
        <v>1259</v>
      </c>
      <c r="B2" s="3" t="s">
        <v>1260</v>
      </c>
      <c r="C2" s="3" t="n">
        <v>221025</v>
      </c>
      <c r="D2" s="3" t="s">
        <v>1261</v>
      </c>
      <c r="E2" s="18" t="n">
        <v>44965</v>
      </c>
      <c r="F2" s="3" t="s">
        <v>1262</v>
      </c>
      <c r="G2" s="3" t="s">
        <v>5</v>
      </c>
      <c r="H2" s="19" t="n">
        <v>44965</v>
      </c>
      <c r="I2" s="19" t="n">
        <v>44796</v>
      </c>
      <c r="J2" s="20" t="n">
        <v>38</v>
      </c>
      <c r="K2" s="20" t="s">
        <v>1263</v>
      </c>
      <c r="L2" s="19" t="s">
        <v>12</v>
      </c>
      <c r="M2" s="19"/>
      <c r="N2" s="19"/>
      <c r="O2" s="20"/>
      <c r="P2" s="20"/>
    </row>
    <row r="3" customFormat="false" ht="14.25" hidden="false" customHeight="true" outlineLevel="0" collapsed="false">
      <c r="A3" s="3" t="s">
        <v>1259</v>
      </c>
      <c r="B3" s="3" t="s">
        <v>1260</v>
      </c>
      <c r="C3" s="3" t="n">
        <v>221025</v>
      </c>
      <c r="D3" s="3" t="s">
        <v>1264</v>
      </c>
      <c r="E3" s="18" t="n">
        <v>44979</v>
      </c>
      <c r="F3" s="3" t="s">
        <v>1262</v>
      </c>
      <c r="G3" s="3" t="s">
        <v>5</v>
      </c>
      <c r="H3" s="19"/>
      <c r="I3" s="19"/>
      <c r="J3" s="20"/>
      <c r="K3" s="20"/>
      <c r="L3" s="19"/>
      <c r="M3" s="19"/>
      <c r="N3" s="19"/>
      <c r="O3" s="20"/>
      <c r="P3" s="20"/>
    </row>
    <row r="4" customFormat="false" ht="14.25" hidden="false" customHeight="true" outlineLevel="0" collapsed="false">
      <c r="A4" s="3" t="s">
        <v>1259</v>
      </c>
      <c r="B4" s="3" t="s">
        <v>1260</v>
      </c>
      <c r="C4" s="3" t="n">
        <v>221025</v>
      </c>
      <c r="D4" s="3" t="s">
        <v>1265</v>
      </c>
      <c r="E4" s="18" t="n">
        <v>44981</v>
      </c>
      <c r="F4" s="3" t="s">
        <v>1262</v>
      </c>
      <c r="G4" s="3" t="s">
        <v>5</v>
      </c>
      <c r="H4" s="19"/>
      <c r="I4" s="19"/>
      <c r="J4" s="20"/>
      <c r="K4" s="20"/>
      <c r="L4" s="19"/>
      <c r="M4" s="19"/>
      <c r="N4" s="19"/>
      <c r="O4" s="20"/>
      <c r="P4" s="20"/>
    </row>
    <row r="5" customFormat="false" ht="14.25" hidden="false" customHeight="true" outlineLevel="0" collapsed="false">
      <c r="A5" s="3" t="s">
        <v>1259</v>
      </c>
      <c r="B5" s="3" t="s">
        <v>1260</v>
      </c>
      <c r="C5" s="3" t="n">
        <v>221025</v>
      </c>
      <c r="D5" s="3" t="s">
        <v>1266</v>
      </c>
      <c r="E5" s="18" t="n">
        <v>44985</v>
      </c>
      <c r="F5" s="3" t="s">
        <v>1262</v>
      </c>
      <c r="G5" s="3" t="s">
        <v>5</v>
      </c>
      <c r="H5" s="19"/>
      <c r="I5" s="19"/>
      <c r="J5" s="20"/>
      <c r="K5" s="20"/>
      <c r="L5" s="19"/>
      <c r="M5" s="19"/>
      <c r="N5" s="19"/>
      <c r="O5" s="20"/>
      <c r="P5" s="20"/>
    </row>
    <row r="6" customFormat="false" ht="14.25" hidden="false" customHeight="true" outlineLevel="0" collapsed="false">
      <c r="A6" s="3" t="s">
        <v>1259</v>
      </c>
      <c r="B6" s="3" t="s">
        <v>1260</v>
      </c>
      <c r="C6" s="3" t="n">
        <v>221025</v>
      </c>
      <c r="D6" s="3" t="s">
        <v>1267</v>
      </c>
      <c r="E6" s="18" t="n">
        <v>44987</v>
      </c>
      <c r="F6" s="3" t="s">
        <v>1262</v>
      </c>
      <c r="G6" s="3" t="s">
        <v>1268</v>
      </c>
      <c r="H6" s="19"/>
      <c r="I6" s="19"/>
      <c r="J6" s="20"/>
      <c r="K6" s="20"/>
      <c r="L6" s="19"/>
      <c r="M6" s="19"/>
      <c r="N6" s="19"/>
      <c r="O6" s="20"/>
      <c r="P6" s="20"/>
    </row>
    <row r="7" customFormat="false" ht="14.25" hidden="false" customHeight="true" outlineLevel="0" collapsed="false">
      <c r="A7" s="3" t="s">
        <v>1259</v>
      </c>
      <c r="B7" s="3" t="s">
        <v>1260</v>
      </c>
      <c r="C7" s="3" t="n">
        <v>221025</v>
      </c>
      <c r="D7" s="3" t="s">
        <v>1269</v>
      </c>
      <c r="E7" s="18" t="n">
        <v>44992</v>
      </c>
      <c r="F7" s="3" t="s">
        <v>1262</v>
      </c>
      <c r="G7" s="3" t="s">
        <v>5</v>
      </c>
      <c r="H7" s="19"/>
      <c r="I7" s="19"/>
      <c r="J7" s="20"/>
      <c r="K7" s="20"/>
      <c r="L7" s="19"/>
      <c r="M7" s="19"/>
      <c r="N7" s="19"/>
      <c r="O7" s="20"/>
      <c r="P7" s="20"/>
    </row>
    <row r="8" customFormat="false" ht="14.25" hidden="false" customHeight="true" outlineLevel="0" collapsed="false">
      <c r="A8" s="3" t="s">
        <v>1259</v>
      </c>
      <c r="B8" s="3" t="s">
        <v>1260</v>
      </c>
      <c r="C8" s="3" t="n">
        <v>221025</v>
      </c>
      <c r="D8" s="3" t="s">
        <v>1270</v>
      </c>
      <c r="E8" s="18" t="n">
        <v>45000</v>
      </c>
      <c r="F8" s="3" t="s">
        <v>1262</v>
      </c>
      <c r="G8" s="3" t="s">
        <v>5</v>
      </c>
      <c r="H8" s="19"/>
      <c r="I8" s="19"/>
      <c r="J8" s="20"/>
      <c r="K8" s="20"/>
      <c r="L8" s="19"/>
      <c r="M8" s="19"/>
      <c r="N8" s="19"/>
      <c r="O8" s="20"/>
      <c r="P8" s="20"/>
    </row>
    <row r="9" customFormat="false" ht="14.25" hidden="false" customHeight="true" outlineLevel="0" collapsed="false">
      <c r="A9" s="3" t="s">
        <v>1259</v>
      </c>
      <c r="B9" s="3" t="s">
        <v>1260</v>
      </c>
      <c r="C9" s="3" t="n">
        <v>221025</v>
      </c>
      <c r="D9" s="3" t="s">
        <v>1271</v>
      </c>
      <c r="E9" s="18" t="n">
        <v>45006</v>
      </c>
      <c r="F9" s="3" t="s">
        <v>1262</v>
      </c>
      <c r="G9" s="3" t="s">
        <v>5</v>
      </c>
      <c r="H9" s="19"/>
      <c r="I9" s="19"/>
      <c r="J9" s="20"/>
      <c r="K9" s="20"/>
      <c r="L9" s="19"/>
      <c r="M9" s="19"/>
      <c r="N9" s="19"/>
      <c r="O9" s="20"/>
      <c r="P9" s="20"/>
    </row>
    <row r="10" customFormat="false" ht="14.25" hidden="false" customHeight="true" outlineLevel="0" collapsed="false">
      <c r="A10" s="3" t="s">
        <v>1259</v>
      </c>
      <c r="B10" s="3" t="s">
        <v>1260</v>
      </c>
      <c r="C10" s="3" t="n">
        <v>221025</v>
      </c>
      <c r="D10" s="3" t="s">
        <v>1272</v>
      </c>
      <c r="E10" s="18" t="n">
        <v>45008</v>
      </c>
      <c r="F10" s="3" t="s">
        <v>1262</v>
      </c>
      <c r="G10" s="3" t="s">
        <v>5</v>
      </c>
      <c r="H10" s="19"/>
      <c r="I10" s="19"/>
      <c r="J10" s="20"/>
      <c r="K10" s="20"/>
      <c r="L10" s="19"/>
      <c r="M10" s="19"/>
      <c r="N10" s="19"/>
      <c r="O10" s="20"/>
      <c r="P10" s="20"/>
    </row>
    <row r="11" customFormat="false" ht="14.25" hidden="false" customHeight="true" outlineLevel="0" collapsed="false">
      <c r="A11" s="3" t="s">
        <v>1259</v>
      </c>
      <c r="B11" s="3" t="s">
        <v>1260</v>
      </c>
      <c r="C11" s="3" t="n">
        <v>221025</v>
      </c>
      <c r="D11" s="3" t="s">
        <v>1273</v>
      </c>
      <c r="E11" s="18" t="n">
        <v>45020</v>
      </c>
      <c r="F11" s="3" t="s">
        <v>1262</v>
      </c>
      <c r="G11" s="3" t="s">
        <v>5</v>
      </c>
      <c r="H11" s="19"/>
      <c r="I11" s="19"/>
      <c r="J11" s="20"/>
      <c r="K11" s="20"/>
      <c r="L11" s="19"/>
      <c r="M11" s="19"/>
      <c r="N11" s="19"/>
      <c r="O11" s="20"/>
      <c r="P11" s="20"/>
    </row>
    <row r="12" customFormat="false" ht="14.25" hidden="false" customHeight="true" outlineLevel="0" collapsed="false">
      <c r="A12" s="3" t="s">
        <v>1259</v>
      </c>
      <c r="B12" s="3" t="s">
        <v>1260</v>
      </c>
      <c r="C12" s="3" t="n">
        <v>221025</v>
      </c>
      <c r="D12" s="3" t="s">
        <v>1274</v>
      </c>
      <c r="E12" s="18" t="n">
        <v>45033</v>
      </c>
      <c r="F12" s="3" t="s">
        <v>1262</v>
      </c>
      <c r="G12" s="3" t="s">
        <v>1275</v>
      </c>
      <c r="H12" s="19"/>
      <c r="I12" s="19"/>
      <c r="J12" s="20"/>
      <c r="K12" s="20"/>
      <c r="L12" s="19"/>
      <c r="M12" s="19"/>
      <c r="N12" s="19"/>
      <c r="O12" s="20"/>
      <c r="P12" s="20"/>
    </row>
    <row r="13" customFormat="false" ht="14.25" hidden="false" customHeight="true" outlineLevel="0" collapsed="false">
      <c r="A13" s="3" t="s">
        <v>1259</v>
      </c>
      <c r="B13" s="3" t="s">
        <v>1260</v>
      </c>
      <c r="C13" s="3" t="n">
        <v>221025</v>
      </c>
      <c r="D13" s="3" t="s">
        <v>1276</v>
      </c>
      <c r="E13" s="18" t="n">
        <v>45034</v>
      </c>
      <c r="F13" s="3" t="s">
        <v>1262</v>
      </c>
      <c r="G13" s="3" t="s">
        <v>5</v>
      </c>
      <c r="H13" s="19"/>
      <c r="I13" s="19"/>
      <c r="J13" s="20"/>
      <c r="K13" s="20"/>
      <c r="L13" s="19"/>
      <c r="M13" s="19"/>
      <c r="N13" s="19"/>
      <c r="O13" s="20"/>
      <c r="P13" s="20"/>
    </row>
    <row r="14" customFormat="false" ht="14.25" hidden="false" customHeight="true" outlineLevel="0" collapsed="false">
      <c r="A14" s="3" t="s">
        <v>1259</v>
      </c>
      <c r="B14" s="3" t="s">
        <v>1260</v>
      </c>
      <c r="C14" s="3" t="n">
        <v>221025</v>
      </c>
      <c r="D14" s="3" t="s">
        <v>1277</v>
      </c>
      <c r="E14" s="18" t="n">
        <v>45048</v>
      </c>
      <c r="F14" s="3" t="s">
        <v>1262</v>
      </c>
      <c r="G14" s="3" t="s">
        <v>5</v>
      </c>
      <c r="H14" s="19"/>
      <c r="I14" s="19"/>
      <c r="J14" s="20"/>
      <c r="K14" s="20"/>
      <c r="L14" s="19"/>
      <c r="M14" s="19"/>
      <c r="N14" s="19"/>
      <c r="O14" s="20"/>
      <c r="P14" s="20"/>
    </row>
    <row r="15" customFormat="false" ht="14.25" hidden="false" customHeight="true" outlineLevel="0" collapsed="false">
      <c r="A15" s="3" t="s">
        <v>1259</v>
      </c>
      <c r="B15" s="3" t="s">
        <v>1260</v>
      </c>
      <c r="C15" s="3" t="n">
        <v>221025</v>
      </c>
      <c r="D15" s="3" t="s">
        <v>1278</v>
      </c>
      <c r="E15" s="18" t="n">
        <v>45062</v>
      </c>
      <c r="F15" s="3" t="s">
        <v>1262</v>
      </c>
      <c r="G15" s="3" t="s">
        <v>5</v>
      </c>
      <c r="H15" s="19"/>
      <c r="I15" s="19"/>
      <c r="J15" s="20"/>
      <c r="K15" s="20"/>
      <c r="L15" s="19"/>
      <c r="M15" s="19"/>
      <c r="N15" s="19"/>
      <c r="O15" s="20"/>
      <c r="P15" s="20"/>
    </row>
    <row r="16" customFormat="false" ht="14.25" hidden="false" customHeight="true" outlineLevel="0" collapsed="false">
      <c r="A16" s="3" t="s">
        <v>1259</v>
      </c>
      <c r="B16" s="3" t="s">
        <v>1260</v>
      </c>
      <c r="C16" s="3" t="n">
        <v>221025</v>
      </c>
      <c r="D16" s="3" t="s">
        <v>1279</v>
      </c>
      <c r="E16" s="18" t="n">
        <v>45076</v>
      </c>
      <c r="F16" s="3" t="s">
        <v>1262</v>
      </c>
      <c r="G16" s="3" t="s">
        <v>5</v>
      </c>
      <c r="H16" s="19"/>
      <c r="I16" s="19"/>
      <c r="J16" s="20"/>
      <c r="K16" s="20"/>
      <c r="L16" s="19"/>
      <c r="M16" s="19"/>
      <c r="N16" s="19"/>
      <c r="O16" s="20"/>
      <c r="P16" s="20"/>
    </row>
    <row r="17" customFormat="false" ht="14.25" hidden="false" customHeight="true" outlineLevel="0" collapsed="false">
      <c r="A17" s="3" t="s">
        <v>1259</v>
      </c>
      <c r="B17" s="3" t="s">
        <v>1260</v>
      </c>
      <c r="C17" s="3" t="n">
        <v>221025</v>
      </c>
      <c r="D17" s="3" t="s">
        <v>1280</v>
      </c>
      <c r="E17" s="18" t="n">
        <v>45084</v>
      </c>
      <c r="F17" s="3" t="s">
        <v>1262</v>
      </c>
      <c r="G17" s="3" t="s">
        <v>1275</v>
      </c>
      <c r="H17" s="19"/>
      <c r="I17" s="19"/>
      <c r="J17" s="20"/>
      <c r="K17" s="20"/>
      <c r="L17" s="19"/>
      <c r="M17" s="19"/>
      <c r="N17" s="19"/>
      <c r="O17" s="20"/>
      <c r="P17" s="20"/>
    </row>
    <row r="18" customFormat="false" ht="14.25" hidden="false" customHeight="true" outlineLevel="0" collapsed="false">
      <c r="A18" s="3" t="s">
        <v>1259</v>
      </c>
      <c r="B18" s="3" t="s">
        <v>1260</v>
      </c>
      <c r="C18" s="3" t="n">
        <v>221025</v>
      </c>
      <c r="D18" s="3" t="s">
        <v>1281</v>
      </c>
      <c r="E18" s="18" t="n">
        <v>45090</v>
      </c>
      <c r="F18" s="3" t="s">
        <v>1262</v>
      </c>
      <c r="G18" s="3" t="s">
        <v>5</v>
      </c>
      <c r="H18" s="19"/>
      <c r="I18" s="19"/>
      <c r="J18" s="20"/>
      <c r="K18" s="20"/>
      <c r="L18" s="19"/>
      <c r="M18" s="19"/>
      <c r="N18" s="19"/>
      <c r="O18" s="20"/>
      <c r="P18" s="20"/>
    </row>
    <row r="19" customFormat="false" ht="14.25" hidden="false" customHeight="true" outlineLevel="0" collapsed="false">
      <c r="A19" s="3" t="s">
        <v>1259</v>
      </c>
      <c r="B19" s="3" t="s">
        <v>1260</v>
      </c>
      <c r="C19" s="3" t="n">
        <v>221025</v>
      </c>
      <c r="D19" s="3" t="s">
        <v>1282</v>
      </c>
      <c r="E19" s="18" t="n">
        <v>45104</v>
      </c>
      <c r="F19" s="3" t="s">
        <v>1262</v>
      </c>
      <c r="G19" s="3" t="s">
        <v>5</v>
      </c>
      <c r="H19" s="19"/>
      <c r="I19" s="19"/>
      <c r="J19" s="20"/>
      <c r="K19" s="20"/>
      <c r="L19" s="19"/>
      <c r="M19" s="19"/>
      <c r="N19" s="19"/>
      <c r="O19" s="20"/>
      <c r="P19" s="20"/>
    </row>
    <row r="20" customFormat="false" ht="14.25" hidden="false" customHeight="true" outlineLevel="0" collapsed="false">
      <c r="A20" s="3" t="s">
        <v>1259</v>
      </c>
      <c r="B20" s="3" t="s">
        <v>1260</v>
      </c>
      <c r="C20" s="3" t="n">
        <v>221025</v>
      </c>
      <c r="D20" s="3" t="s">
        <v>1283</v>
      </c>
      <c r="E20" s="18" t="n">
        <v>45118</v>
      </c>
      <c r="F20" s="3" t="s">
        <v>1262</v>
      </c>
      <c r="G20" s="3" t="s">
        <v>5</v>
      </c>
      <c r="H20" s="19"/>
      <c r="I20" s="19"/>
      <c r="J20" s="20"/>
      <c r="K20" s="20"/>
      <c r="L20" s="19"/>
      <c r="M20" s="19"/>
      <c r="N20" s="19"/>
      <c r="O20" s="20"/>
      <c r="P20" s="20"/>
    </row>
    <row r="21" customFormat="false" ht="14.25" hidden="false" customHeight="true" outlineLevel="0" collapsed="false">
      <c r="A21" s="3" t="s">
        <v>1259</v>
      </c>
      <c r="B21" s="3" t="s">
        <v>1260</v>
      </c>
      <c r="C21" s="3" t="n">
        <v>221025</v>
      </c>
      <c r="D21" s="3" t="s">
        <v>1284</v>
      </c>
      <c r="E21" s="18" t="n">
        <v>45132</v>
      </c>
      <c r="F21" s="3" t="s">
        <v>1262</v>
      </c>
      <c r="G21" s="3" t="s">
        <v>5</v>
      </c>
      <c r="H21" s="19"/>
      <c r="I21" s="19"/>
      <c r="J21" s="20"/>
      <c r="K21" s="20"/>
      <c r="L21" s="19"/>
      <c r="M21" s="19"/>
      <c r="N21" s="19"/>
      <c r="O21" s="20"/>
      <c r="P21" s="20"/>
    </row>
    <row r="22" customFormat="false" ht="14.25" hidden="false" customHeight="true" outlineLevel="0" collapsed="false">
      <c r="A22" s="3" t="s">
        <v>1259</v>
      </c>
      <c r="B22" s="3" t="s">
        <v>1260</v>
      </c>
      <c r="C22" s="3" t="n">
        <v>221025</v>
      </c>
      <c r="D22" s="3" t="s">
        <v>1285</v>
      </c>
      <c r="E22" s="18" t="n">
        <v>45141</v>
      </c>
      <c r="F22" s="3" t="s">
        <v>1262</v>
      </c>
      <c r="G22" s="3" t="s">
        <v>1275</v>
      </c>
      <c r="H22" s="19"/>
      <c r="I22" s="19"/>
      <c r="J22" s="20"/>
      <c r="K22" s="20"/>
      <c r="L22" s="19"/>
      <c r="M22" s="19"/>
      <c r="N22" s="19"/>
      <c r="O22" s="20"/>
      <c r="P22" s="20"/>
    </row>
    <row r="23" customFormat="false" ht="14.25" hidden="false" customHeight="true" outlineLevel="0" collapsed="false">
      <c r="A23" s="3" t="s">
        <v>1259</v>
      </c>
      <c r="B23" s="3" t="s">
        <v>1260</v>
      </c>
      <c r="C23" s="3" t="n">
        <v>221025</v>
      </c>
      <c r="D23" s="3" t="s">
        <v>1286</v>
      </c>
      <c r="E23" s="18" t="n">
        <v>45146</v>
      </c>
      <c r="F23" s="3" t="s">
        <v>1262</v>
      </c>
      <c r="G23" s="3" t="s">
        <v>5</v>
      </c>
      <c r="H23" s="19"/>
      <c r="I23" s="19"/>
      <c r="J23" s="20"/>
      <c r="K23" s="20"/>
      <c r="L23" s="19"/>
      <c r="M23" s="19"/>
      <c r="N23" s="19"/>
      <c r="O23" s="20"/>
      <c r="P23" s="20"/>
    </row>
    <row r="24" customFormat="false" ht="14.25" hidden="false" customHeight="true" outlineLevel="0" collapsed="false">
      <c r="A24" s="3" t="s">
        <v>1259</v>
      </c>
      <c r="B24" s="3" t="s">
        <v>1260</v>
      </c>
      <c r="C24" s="3" t="n">
        <v>221025</v>
      </c>
      <c r="D24" s="3" t="s">
        <v>1287</v>
      </c>
      <c r="E24" s="18" t="n">
        <v>45160</v>
      </c>
      <c r="F24" s="3" t="s">
        <v>1262</v>
      </c>
      <c r="G24" s="3" t="s">
        <v>5</v>
      </c>
      <c r="H24" s="19"/>
      <c r="I24" s="19"/>
      <c r="J24" s="20"/>
      <c r="K24" s="20"/>
      <c r="L24" s="19"/>
      <c r="M24" s="19"/>
      <c r="N24" s="19"/>
      <c r="O24" s="20"/>
      <c r="P24" s="20"/>
    </row>
    <row r="25" customFormat="false" ht="14.25" hidden="false" customHeight="true" outlineLevel="0" collapsed="false">
      <c r="A25" s="3" t="s">
        <v>1259</v>
      </c>
      <c r="B25" s="3" t="s">
        <v>1260</v>
      </c>
      <c r="C25" s="3" t="n">
        <v>221025</v>
      </c>
      <c r="D25" s="3" t="s">
        <v>1288</v>
      </c>
      <c r="E25" s="18" t="n">
        <v>45174</v>
      </c>
      <c r="F25" s="3" t="s">
        <v>1262</v>
      </c>
      <c r="G25" s="3" t="s">
        <v>5</v>
      </c>
      <c r="H25" s="19"/>
      <c r="I25" s="19"/>
      <c r="J25" s="20"/>
      <c r="K25" s="20"/>
      <c r="L25" s="19"/>
      <c r="M25" s="19"/>
      <c r="N25" s="19"/>
      <c r="O25" s="20"/>
      <c r="P25" s="20"/>
    </row>
    <row r="26" customFormat="false" ht="14.25" hidden="false" customHeight="true" outlineLevel="0" collapsed="false">
      <c r="A26" s="3" t="s">
        <v>1259</v>
      </c>
      <c r="B26" s="3" t="s">
        <v>1260</v>
      </c>
      <c r="C26" s="3" t="n">
        <v>221025</v>
      </c>
      <c r="D26" s="3" t="s">
        <v>1289</v>
      </c>
      <c r="E26" s="18" t="n">
        <v>45188</v>
      </c>
      <c r="F26" s="3" t="s">
        <v>1262</v>
      </c>
      <c r="G26" s="3" t="s">
        <v>5</v>
      </c>
      <c r="H26" s="19"/>
      <c r="I26" s="19"/>
      <c r="J26" s="20"/>
      <c r="K26" s="20"/>
      <c r="L26" s="19"/>
      <c r="M26" s="19"/>
      <c r="N26" s="19"/>
      <c r="O26" s="20"/>
      <c r="P26" s="20"/>
    </row>
    <row r="27" customFormat="false" ht="14.25" hidden="false" customHeight="true" outlineLevel="0" collapsed="false">
      <c r="A27" s="3" t="s">
        <v>1259</v>
      </c>
      <c r="B27" s="3" t="s">
        <v>1260</v>
      </c>
      <c r="C27" s="3" t="n">
        <v>221025</v>
      </c>
      <c r="D27" s="3" t="s">
        <v>1290</v>
      </c>
      <c r="E27" s="18" t="n">
        <v>45203</v>
      </c>
      <c r="F27" s="3" t="s">
        <v>1262</v>
      </c>
      <c r="G27" s="3" t="s">
        <v>5</v>
      </c>
      <c r="H27" s="19"/>
      <c r="I27" s="19"/>
      <c r="J27" s="20"/>
      <c r="K27" s="20"/>
      <c r="L27" s="19"/>
      <c r="M27" s="19"/>
      <c r="N27" s="19"/>
      <c r="O27" s="20"/>
      <c r="P27" s="20"/>
    </row>
    <row r="28" customFormat="false" ht="14.25" hidden="false" customHeight="true" outlineLevel="0" collapsed="false">
      <c r="A28" s="3" t="s">
        <v>1259</v>
      </c>
      <c r="B28" s="3" t="s">
        <v>1260</v>
      </c>
      <c r="C28" s="3" t="n">
        <v>221025</v>
      </c>
      <c r="D28" s="3" t="s">
        <v>1291</v>
      </c>
      <c r="E28" s="18" t="n">
        <v>45203</v>
      </c>
      <c r="F28" s="3" t="s">
        <v>1262</v>
      </c>
      <c r="G28" s="3" t="s">
        <v>1275</v>
      </c>
      <c r="H28" s="19"/>
      <c r="I28" s="19"/>
      <c r="J28" s="20"/>
      <c r="K28" s="20"/>
      <c r="L28" s="19"/>
      <c r="M28" s="19"/>
      <c r="N28" s="19"/>
      <c r="O28" s="20"/>
      <c r="P28" s="20"/>
    </row>
    <row r="29" customFormat="false" ht="14.25" hidden="false" customHeight="true" outlineLevel="0" collapsed="false">
      <c r="A29" s="3" t="s">
        <v>1259</v>
      </c>
      <c r="B29" s="3" t="s">
        <v>1260</v>
      </c>
      <c r="C29" s="3" t="n">
        <v>221025</v>
      </c>
      <c r="D29" s="3" t="s">
        <v>1292</v>
      </c>
      <c r="E29" s="18" t="n">
        <v>45216</v>
      </c>
      <c r="F29" s="3" t="s">
        <v>1262</v>
      </c>
      <c r="G29" s="3" t="s">
        <v>5</v>
      </c>
      <c r="H29" s="19"/>
      <c r="I29" s="19"/>
      <c r="J29" s="20"/>
      <c r="K29" s="20"/>
      <c r="L29" s="19"/>
      <c r="M29" s="19"/>
      <c r="N29" s="19"/>
      <c r="O29" s="20"/>
      <c r="P29" s="20"/>
    </row>
    <row r="30" customFormat="false" ht="14.25" hidden="false" customHeight="true" outlineLevel="0" collapsed="false">
      <c r="A30" s="3" t="s">
        <v>1259</v>
      </c>
      <c r="B30" s="3" t="s">
        <v>1260</v>
      </c>
      <c r="C30" s="3" t="n">
        <v>221025</v>
      </c>
      <c r="D30" s="3" t="s">
        <v>1293</v>
      </c>
      <c r="E30" s="18" t="n">
        <v>45231</v>
      </c>
      <c r="F30" s="3" t="s">
        <v>1262</v>
      </c>
      <c r="G30" s="3" t="s">
        <v>5</v>
      </c>
      <c r="H30" s="19"/>
      <c r="I30" s="19"/>
      <c r="J30" s="20"/>
      <c r="K30" s="20"/>
      <c r="L30" s="19"/>
      <c r="M30" s="19"/>
      <c r="N30" s="19"/>
      <c r="O30" s="20"/>
      <c r="P30" s="20"/>
    </row>
    <row r="31" customFormat="false" ht="14.25" hidden="false" customHeight="true" outlineLevel="0" collapsed="false">
      <c r="A31" s="3" t="s">
        <v>1259</v>
      </c>
      <c r="B31" s="3" t="s">
        <v>1260</v>
      </c>
      <c r="C31" s="3" t="n">
        <v>221025</v>
      </c>
      <c r="D31" s="3" t="s">
        <v>1294</v>
      </c>
      <c r="E31" s="18" t="n">
        <v>45244</v>
      </c>
      <c r="F31" s="3" t="s">
        <v>1262</v>
      </c>
      <c r="G31" s="3" t="s">
        <v>5</v>
      </c>
      <c r="H31" s="19"/>
      <c r="I31" s="19"/>
      <c r="J31" s="20"/>
      <c r="K31" s="20"/>
      <c r="L31" s="19"/>
      <c r="M31" s="19"/>
      <c r="N31" s="19"/>
      <c r="O31" s="20"/>
      <c r="P31" s="20"/>
    </row>
    <row r="32" customFormat="false" ht="14.25" hidden="false" customHeight="true" outlineLevel="0" collapsed="false">
      <c r="A32" s="3" t="s">
        <v>1259</v>
      </c>
      <c r="B32" s="3" t="s">
        <v>1260</v>
      </c>
      <c r="C32" s="3" t="n">
        <v>221025</v>
      </c>
      <c r="D32" s="3" t="s">
        <v>1295</v>
      </c>
      <c r="E32" s="18" t="n">
        <v>45258</v>
      </c>
      <c r="F32" s="3" t="s">
        <v>1262</v>
      </c>
      <c r="G32" s="3" t="s">
        <v>5</v>
      </c>
      <c r="H32" s="19"/>
      <c r="I32" s="19"/>
      <c r="J32" s="20"/>
      <c r="K32" s="20"/>
      <c r="L32" s="19"/>
      <c r="M32" s="19"/>
      <c r="N32" s="19"/>
      <c r="O32" s="20"/>
      <c r="P32" s="20"/>
    </row>
    <row r="33" customFormat="false" ht="14.25" hidden="false" customHeight="true" outlineLevel="0" collapsed="false">
      <c r="A33" s="3" t="s">
        <v>1259</v>
      </c>
      <c r="B33" s="3" t="s">
        <v>1260</v>
      </c>
      <c r="C33" s="3" t="n">
        <v>221025</v>
      </c>
      <c r="D33" s="3" t="s">
        <v>1296</v>
      </c>
      <c r="E33" s="18" t="n">
        <v>45258</v>
      </c>
      <c r="F33" s="3" t="s">
        <v>1262</v>
      </c>
      <c r="G33" s="3" t="s">
        <v>1275</v>
      </c>
      <c r="H33" s="19"/>
      <c r="I33" s="19"/>
      <c r="J33" s="20"/>
      <c r="K33" s="20"/>
      <c r="L33" s="19"/>
      <c r="M33" s="19"/>
      <c r="N33" s="19"/>
      <c r="O33" s="20"/>
      <c r="P33" s="20"/>
    </row>
    <row r="34" customFormat="false" ht="14.25" hidden="false" customHeight="true" outlineLevel="0" collapsed="false">
      <c r="A34" s="3" t="s">
        <v>1259</v>
      </c>
      <c r="B34" s="3" t="s">
        <v>1260</v>
      </c>
      <c r="C34" s="3" t="n">
        <v>221025</v>
      </c>
      <c r="D34" s="3" t="s">
        <v>1297</v>
      </c>
      <c r="E34" s="18" t="n">
        <v>45273</v>
      </c>
      <c r="F34" s="3" t="s">
        <v>1262</v>
      </c>
      <c r="G34" s="3" t="s">
        <v>5</v>
      </c>
      <c r="H34" s="19"/>
      <c r="I34" s="19"/>
      <c r="J34" s="20"/>
      <c r="K34" s="20"/>
      <c r="L34" s="19"/>
      <c r="M34" s="19"/>
      <c r="N34" s="19"/>
      <c r="O34" s="20"/>
      <c r="P34" s="20"/>
    </row>
    <row r="35" customFormat="false" ht="14.25" hidden="false" customHeight="true" outlineLevel="0" collapsed="false">
      <c r="A35" s="3" t="s">
        <v>1259</v>
      </c>
      <c r="B35" s="3" t="s">
        <v>1260</v>
      </c>
      <c r="C35" s="3" t="n">
        <v>221025</v>
      </c>
      <c r="D35" s="3" t="s">
        <v>1298</v>
      </c>
      <c r="E35" s="18" t="n">
        <v>45286</v>
      </c>
      <c r="F35" s="3" t="s">
        <v>1262</v>
      </c>
      <c r="G35" s="3" t="s">
        <v>5</v>
      </c>
      <c r="H35" s="19"/>
      <c r="I35" s="19"/>
      <c r="J35" s="20"/>
      <c r="K35" s="20"/>
      <c r="L35" s="19"/>
      <c r="M35" s="19"/>
      <c r="N35" s="19"/>
      <c r="O35" s="20"/>
      <c r="P35" s="20"/>
    </row>
    <row r="36" customFormat="false" ht="14.25" hidden="false" customHeight="true" outlineLevel="0" collapsed="false">
      <c r="A36" s="3" t="s">
        <v>1259</v>
      </c>
      <c r="B36" s="3" t="s">
        <v>1260</v>
      </c>
      <c r="C36" s="3" t="n">
        <v>221025</v>
      </c>
      <c r="D36" s="3" t="s">
        <v>1299</v>
      </c>
      <c r="E36" s="18" t="n">
        <v>45300</v>
      </c>
      <c r="F36" s="3" t="s">
        <v>1262</v>
      </c>
      <c r="G36" s="3" t="s">
        <v>5</v>
      </c>
      <c r="H36" s="19"/>
      <c r="I36" s="19"/>
      <c r="J36" s="20"/>
      <c r="K36" s="20"/>
      <c r="L36" s="19"/>
      <c r="M36" s="19"/>
      <c r="N36" s="19"/>
      <c r="O36" s="20"/>
      <c r="P36" s="20"/>
    </row>
    <row r="37" customFormat="false" ht="14.25" hidden="false" customHeight="true" outlineLevel="0" collapsed="false">
      <c r="A37" s="3" t="s">
        <v>1259</v>
      </c>
      <c r="B37" s="3" t="s">
        <v>1260</v>
      </c>
      <c r="C37" s="3" t="n">
        <v>221025</v>
      </c>
      <c r="D37" s="3" t="s">
        <v>1300</v>
      </c>
      <c r="E37" s="18" t="n">
        <v>45314</v>
      </c>
      <c r="F37" s="3" t="s">
        <v>1262</v>
      </c>
      <c r="G37" s="3" t="s">
        <v>5</v>
      </c>
      <c r="H37" s="19"/>
      <c r="I37" s="19"/>
      <c r="J37" s="20"/>
      <c r="K37" s="20"/>
      <c r="L37" s="19"/>
      <c r="M37" s="19"/>
      <c r="N37" s="19"/>
      <c r="O37" s="20"/>
      <c r="P37" s="20"/>
    </row>
    <row r="38" customFormat="false" ht="14.25" hidden="false" customHeight="true" outlineLevel="0" collapsed="false">
      <c r="A38" s="3" t="s">
        <v>1259</v>
      </c>
      <c r="B38" s="3" t="s">
        <v>1260</v>
      </c>
      <c r="C38" s="3" t="n">
        <v>221025</v>
      </c>
      <c r="D38" s="3" t="s">
        <v>1301</v>
      </c>
      <c r="E38" s="18" t="n">
        <v>45314</v>
      </c>
      <c r="F38" s="3" t="s">
        <v>1262</v>
      </c>
      <c r="G38" s="3" t="s">
        <v>1275</v>
      </c>
      <c r="H38" s="19"/>
      <c r="I38" s="19"/>
      <c r="J38" s="20"/>
      <c r="K38" s="20"/>
      <c r="L38" s="19"/>
      <c r="M38" s="19"/>
      <c r="N38" s="19"/>
      <c r="O38" s="20"/>
      <c r="P38" s="20"/>
    </row>
    <row r="39" customFormat="false" ht="14.25" hidden="false" customHeight="true" outlineLevel="0" collapsed="false">
      <c r="A39" s="3" t="s">
        <v>1259</v>
      </c>
      <c r="B39" s="3" t="s">
        <v>1260</v>
      </c>
      <c r="C39" s="3" t="n">
        <v>221025</v>
      </c>
      <c r="D39" s="3" t="s">
        <v>1302</v>
      </c>
      <c r="E39" s="18" t="n">
        <v>45329</v>
      </c>
      <c r="F39" s="3" t="s">
        <v>1262</v>
      </c>
      <c r="G39" s="3" t="s">
        <v>5</v>
      </c>
      <c r="H39" s="19"/>
      <c r="I39" s="19"/>
      <c r="J39" s="20"/>
      <c r="K39" s="20"/>
      <c r="L39" s="19"/>
      <c r="M39" s="19"/>
      <c r="N39" s="19"/>
      <c r="O39" s="20"/>
      <c r="P39" s="20"/>
    </row>
    <row r="40" customFormat="false" ht="14.25" hidden="false" customHeight="true" outlineLevel="0" collapsed="false">
      <c r="A40" s="3" t="s">
        <v>1259</v>
      </c>
      <c r="B40" s="3" t="s">
        <v>1260</v>
      </c>
      <c r="C40" s="3" t="n">
        <v>221025</v>
      </c>
      <c r="D40" s="3" t="s">
        <v>1303</v>
      </c>
      <c r="E40" s="18" t="n">
        <v>45342</v>
      </c>
      <c r="F40" s="3" t="s">
        <v>1262</v>
      </c>
      <c r="G40" s="3" t="s">
        <v>5</v>
      </c>
      <c r="H40" s="19"/>
      <c r="I40" s="19"/>
      <c r="J40" s="20"/>
      <c r="K40" s="20"/>
      <c r="L40" s="19"/>
      <c r="M40" s="19"/>
      <c r="N40" s="19"/>
      <c r="O40" s="20"/>
      <c r="P40" s="20"/>
    </row>
    <row r="41" customFormat="false" ht="14.25" hidden="false" customHeight="true" outlineLevel="0" collapsed="false">
      <c r="A41" s="3" t="s">
        <v>1259</v>
      </c>
      <c r="B41" s="3" t="s">
        <v>1260</v>
      </c>
      <c r="C41" s="3" t="n">
        <v>221025</v>
      </c>
      <c r="D41" s="3" t="s">
        <v>1304</v>
      </c>
      <c r="E41" s="18" t="n">
        <v>45356</v>
      </c>
      <c r="F41" s="3" t="s">
        <v>1262</v>
      </c>
      <c r="G41" s="3" t="s">
        <v>5</v>
      </c>
      <c r="H41" s="19"/>
      <c r="I41" s="19"/>
      <c r="J41" s="20"/>
      <c r="K41" s="20"/>
      <c r="L41" s="19"/>
      <c r="M41" s="19"/>
      <c r="N41" s="19"/>
      <c r="O41" s="20"/>
      <c r="P41" s="20"/>
    </row>
    <row r="42" customFormat="false" ht="14.25" hidden="false" customHeight="true" outlineLevel="0" collapsed="false">
      <c r="A42" s="3" t="s">
        <v>1259</v>
      </c>
      <c r="B42" s="3" t="s">
        <v>1260</v>
      </c>
      <c r="C42" s="3" t="n">
        <v>221025</v>
      </c>
      <c r="D42" s="3" t="s">
        <v>1305</v>
      </c>
      <c r="E42" s="18" t="n">
        <v>45370</v>
      </c>
      <c r="F42" s="3" t="s">
        <v>1262</v>
      </c>
      <c r="G42" s="3" t="s">
        <v>5</v>
      </c>
      <c r="H42" s="19"/>
      <c r="I42" s="19"/>
      <c r="J42" s="20"/>
      <c r="K42" s="20"/>
      <c r="L42" s="19"/>
      <c r="M42" s="19"/>
      <c r="N42" s="19"/>
      <c r="O42" s="20"/>
      <c r="P42" s="20"/>
    </row>
    <row r="43" customFormat="false" ht="14.25" hidden="false" customHeight="true" outlineLevel="0" collapsed="false">
      <c r="A43" s="3" t="s">
        <v>1259</v>
      </c>
      <c r="B43" s="3" t="s">
        <v>1260</v>
      </c>
      <c r="C43" s="3" t="n">
        <v>221025</v>
      </c>
      <c r="D43" s="3" t="s">
        <v>1306</v>
      </c>
      <c r="E43" s="18" t="n">
        <v>45370</v>
      </c>
      <c r="F43" s="3" t="s">
        <v>1262</v>
      </c>
      <c r="G43" s="3" t="s">
        <v>1275</v>
      </c>
      <c r="H43" s="19"/>
      <c r="I43" s="19"/>
      <c r="J43" s="20"/>
      <c r="K43" s="20"/>
      <c r="L43" s="19"/>
      <c r="M43" s="19"/>
      <c r="N43" s="19"/>
      <c r="O43" s="20"/>
      <c r="P43" s="20"/>
    </row>
    <row r="44" customFormat="false" ht="14.25" hidden="false" customHeight="true" outlineLevel="0" collapsed="false">
      <c r="A44" s="3" t="s">
        <v>1259</v>
      </c>
      <c r="B44" s="3" t="s">
        <v>1260</v>
      </c>
      <c r="C44" s="3" t="n">
        <v>221025</v>
      </c>
      <c r="D44" s="3" t="s">
        <v>1307</v>
      </c>
      <c r="E44" s="18" t="n">
        <v>45384</v>
      </c>
      <c r="F44" s="3" t="s">
        <v>1262</v>
      </c>
      <c r="G44" s="3" t="s">
        <v>5</v>
      </c>
      <c r="H44" s="19"/>
      <c r="I44" s="19"/>
      <c r="J44" s="20"/>
      <c r="K44" s="20"/>
      <c r="L44" s="19"/>
      <c r="M44" s="19"/>
      <c r="N44" s="19"/>
      <c r="O44" s="20"/>
      <c r="P44" s="20"/>
    </row>
    <row r="45" customFormat="false" ht="14.25" hidden="false" customHeight="true" outlineLevel="0" collapsed="false">
      <c r="A45" s="3" t="s">
        <v>1259</v>
      </c>
      <c r="B45" s="3" t="s">
        <v>1260</v>
      </c>
      <c r="C45" s="3" t="n">
        <v>221025</v>
      </c>
      <c r="D45" s="3" t="s">
        <v>1308</v>
      </c>
      <c r="E45" s="18" t="n">
        <v>45398</v>
      </c>
      <c r="F45" s="3" t="s">
        <v>1262</v>
      </c>
      <c r="G45" s="3" t="s">
        <v>5</v>
      </c>
      <c r="H45" s="19"/>
      <c r="I45" s="19"/>
      <c r="J45" s="20"/>
      <c r="K45" s="20"/>
      <c r="L45" s="19"/>
      <c r="M45" s="19"/>
      <c r="N45" s="19"/>
      <c r="O45" s="20"/>
      <c r="P45" s="20"/>
    </row>
    <row r="46" customFormat="false" ht="14.25" hidden="false" customHeight="true" outlineLevel="0" collapsed="false">
      <c r="A46" s="3" t="s">
        <v>1259</v>
      </c>
      <c r="B46" s="3" t="s">
        <v>1260</v>
      </c>
      <c r="C46" s="3" t="n">
        <v>221025</v>
      </c>
      <c r="D46" s="3" t="s">
        <v>1309</v>
      </c>
      <c r="E46" s="18" t="n">
        <v>45412</v>
      </c>
      <c r="F46" s="3" t="s">
        <v>1262</v>
      </c>
      <c r="G46" s="3" t="s">
        <v>5</v>
      </c>
      <c r="H46" s="19"/>
      <c r="I46" s="19"/>
      <c r="J46" s="20"/>
      <c r="K46" s="20"/>
      <c r="L46" s="19"/>
      <c r="M46" s="19"/>
      <c r="N46" s="19"/>
      <c r="O46" s="20"/>
      <c r="P46" s="20"/>
    </row>
    <row r="47" customFormat="false" ht="14.25" hidden="false" customHeight="true" outlineLevel="0" collapsed="false">
      <c r="A47" s="3" t="s">
        <v>1259</v>
      </c>
      <c r="B47" s="3" t="s">
        <v>1260</v>
      </c>
      <c r="C47" s="3" t="n">
        <v>221025</v>
      </c>
      <c r="D47" s="3" t="s">
        <v>1310</v>
      </c>
      <c r="E47" s="18" t="n">
        <v>45426</v>
      </c>
      <c r="F47" s="3" t="s">
        <v>1262</v>
      </c>
      <c r="G47" s="3" t="s">
        <v>5</v>
      </c>
      <c r="H47" s="19"/>
      <c r="I47" s="19"/>
      <c r="J47" s="20"/>
      <c r="K47" s="20"/>
      <c r="L47" s="19"/>
      <c r="M47" s="19"/>
      <c r="N47" s="19"/>
      <c r="O47" s="20"/>
      <c r="P47" s="20"/>
    </row>
    <row r="48" customFormat="false" ht="14.25" hidden="false" customHeight="true" outlineLevel="0" collapsed="false">
      <c r="A48" s="3" t="s">
        <v>1259</v>
      </c>
      <c r="B48" s="3" t="s">
        <v>1260</v>
      </c>
      <c r="C48" s="3" t="n">
        <v>221025</v>
      </c>
      <c r="D48" s="3" t="s">
        <v>1311</v>
      </c>
      <c r="E48" s="18" t="n">
        <v>45426</v>
      </c>
      <c r="F48" s="3" t="s">
        <v>1262</v>
      </c>
      <c r="G48" s="3" t="s">
        <v>1275</v>
      </c>
      <c r="H48" s="19"/>
      <c r="I48" s="19"/>
      <c r="J48" s="20"/>
      <c r="K48" s="20"/>
      <c r="L48" s="19"/>
      <c r="M48" s="19"/>
      <c r="N48" s="19"/>
      <c r="O48" s="20"/>
      <c r="P48" s="20"/>
    </row>
    <row r="49" customFormat="false" ht="14.25" hidden="false" customHeight="true" outlineLevel="0" collapsed="false">
      <c r="A49" s="3" t="s">
        <v>1259</v>
      </c>
      <c r="B49" s="3" t="s">
        <v>1260</v>
      </c>
      <c r="C49" s="3" t="n">
        <v>221025</v>
      </c>
      <c r="D49" s="3" t="s">
        <v>1312</v>
      </c>
      <c r="E49" s="18" t="n">
        <v>45440</v>
      </c>
      <c r="F49" s="3" t="s">
        <v>1262</v>
      </c>
      <c r="G49" s="3" t="s">
        <v>5</v>
      </c>
      <c r="H49" s="19"/>
      <c r="I49" s="19"/>
      <c r="J49" s="20"/>
      <c r="K49" s="20"/>
      <c r="L49" s="19"/>
      <c r="M49" s="19"/>
      <c r="N49" s="19"/>
      <c r="O49" s="20"/>
      <c r="P49" s="20"/>
    </row>
    <row r="50" customFormat="false" ht="14.25" hidden="false" customHeight="true" outlineLevel="0" collapsed="false">
      <c r="A50" s="3" t="s">
        <v>1259</v>
      </c>
      <c r="B50" s="3" t="s">
        <v>1260</v>
      </c>
      <c r="C50" s="3" t="n">
        <v>221029</v>
      </c>
      <c r="D50" s="3" t="s">
        <v>1261</v>
      </c>
      <c r="E50" s="18" t="n">
        <v>44966</v>
      </c>
      <c r="F50" s="3" t="s">
        <v>1262</v>
      </c>
      <c r="G50" s="3" t="s">
        <v>5</v>
      </c>
      <c r="H50" s="19" t="n">
        <v>44966</v>
      </c>
      <c r="I50" s="19" t="n">
        <v>44796</v>
      </c>
      <c r="J50" s="20" t="n">
        <v>69</v>
      </c>
      <c r="K50" s="20" t="s">
        <v>1313</v>
      </c>
      <c r="L50" s="19" t="s">
        <v>12</v>
      </c>
      <c r="M50" s="19"/>
      <c r="N50" s="19"/>
      <c r="O50" s="20"/>
      <c r="P50" s="20"/>
    </row>
    <row r="51" customFormat="false" ht="14.25" hidden="false" customHeight="true" outlineLevel="0" collapsed="false">
      <c r="A51" s="3" t="s">
        <v>1259</v>
      </c>
      <c r="B51" s="3" t="s">
        <v>1260</v>
      </c>
      <c r="C51" s="3" t="n">
        <v>221029</v>
      </c>
      <c r="D51" s="3" t="s">
        <v>1264</v>
      </c>
      <c r="E51" s="18" t="n">
        <v>44978</v>
      </c>
      <c r="F51" s="3" t="s">
        <v>1262</v>
      </c>
      <c r="G51" s="3" t="s">
        <v>5</v>
      </c>
      <c r="H51" s="19"/>
      <c r="I51" s="19"/>
      <c r="J51" s="20"/>
      <c r="K51" s="20"/>
      <c r="L51" s="19"/>
      <c r="M51" s="19"/>
      <c r="N51" s="19"/>
      <c r="O51" s="20"/>
      <c r="P51" s="20"/>
    </row>
    <row r="52" customFormat="false" ht="14.25" hidden="false" customHeight="true" outlineLevel="0" collapsed="false">
      <c r="A52" s="3" t="s">
        <v>1259</v>
      </c>
      <c r="B52" s="3" t="s">
        <v>1260</v>
      </c>
      <c r="C52" s="3" t="n">
        <v>221029</v>
      </c>
      <c r="D52" s="3" t="s">
        <v>1265</v>
      </c>
      <c r="E52" s="18" t="n">
        <v>44980</v>
      </c>
      <c r="F52" s="3" t="s">
        <v>1262</v>
      </c>
      <c r="G52" s="3" t="s">
        <v>5</v>
      </c>
      <c r="H52" s="19"/>
      <c r="I52" s="19"/>
      <c r="J52" s="20"/>
      <c r="K52" s="20"/>
      <c r="L52" s="19"/>
      <c r="M52" s="19"/>
      <c r="N52" s="19"/>
      <c r="O52" s="20"/>
      <c r="P52" s="20"/>
    </row>
    <row r="53" customFormat="false" ht="14.25" hidden="false" customHeight="true" outlineLevel="0" collapsed="false">
      <c r="A53" s="3" t="s">
        <v>1259</v>
      </c>
      <c r="B53" s="3" t="s">
        <v>1260</v>
      </c>
      <c r="C53" s="3" t="n">
        <v>221029</v>
      </c>
      <c r="D53" s="3" t="s">
        <v>1266</v>
      </c>
      <c r="E53" s="18" t="n">
        <v>44985</v>
      </c>
      <c r="F53" s="3" t="s">
        <v>1262</v>
      </c>
      <c r="G53" s="3" t="s">
        <v>5</v>
      </c>
      <c r="H53" s="19"/>
      <c r="I53" s="19"/>
      <c r="J53" s="20"/>
      <c r="K53" s="20"/>
      <c r="L53" s="19"/>
      <c r="M53" s="19"/>
      <c r="N53" s="19"/>
      <c r="O53" s="20"/>
      <c r="P53" s="20"/>
    </row>
    <row r="54" customFormat="false" ht="14.25" hidden="false" customHeight="true" outlineLevel="0" collapsed="false">
      <c r="A54" s="3" t="s">
        <v>1259</v>
      </c>
      <c r="B54" s="3" t="s">
        <v>1260</v>
      </c>
      <c r="C54" s="3" t="n">
        <v>221029</v>
      </c>
      <c r="D54" s="3" t="s">
        <v>1269</v>
      </c>
      <c r="E54" s="18" t="n">
        <v>44992</v>
      </c>
      <c r="F54" s="3" t="s">
        <v>1262</v>
      </c>
      <c r="G54" s="3" t="s">
        <v>5</v>
      </c>
      <c r="H54" s="19"/>
      <c r="I54" s="19"/>
      <c r="J54" s="20"/>
      <c r="K54" s="20"/>
      <c r="L54" s="19"/>
      <c r="M54" s="19"/>
      <c r="N54" s="19"/>
      <c r="O54" s="20"/>
      <c r="P54" s="20"/>
    </row>
    <row r="55" customFormat="false" ht="14.25" hidden="false" customHeight="true" outlineLevel="0" collapsed="false">
      <c r="A55" s="3" t="s">
        <v>1259</v>
      </c>
      <c r="B55" s="3" t="s">
        <v>1260</v>
      </c>
      <c r="C55" s="3" t="n">
        <v>221029</v>
      </c>
      <c r="D55" s="3" t="s">
        <v>1270</v>
      </c>
      <c r="E55" s="18" t="n">
        <v>44999</v>
      </c>
      <c r="F55" s="3" t="s">
        <v>1262</v>
      </c>
      <c r="G55" s="3" t="s">
        <v>5</v>
      </c>
      <c r="H55" s="19"/>
      <c r="I55" s="19"/>
      <c r="J55" s="20"/>
      <c r="K55" s="20"/>
      <c r="L55" s="19"/>
      <c r="M55" s="19"/>
      <c r="N55" s="19"/>
      <c r="O55" s="20"/>
      <c r="P55" s="20"/>
    </row>
    <row r="56" customFormat="false" ht="14.25" hidden="false" customHeight="true" outlineLevel="0" collapsed="false">
      <c r="A56" s="3" t="s">
        <v>1259</v>
      </c>
      <c r="B56" s="3" t="s">
        <v>1260</v>
      </c>
      <c r="C56" s="3" t="n">
        <v>221029</v>
      </c>
      <c r="D56" s="3" t="s">
        <v>1271</v>
      </c>
      <c r="E56" s="18" t="n">
        <v>45006</v>
      </c>
      <c r="F56" s="3" t="s">
        <v>1262</v>
      </c>
      <c r="G56" s="3" t="s">
        <v>5</v>
      </c>
      <c r="H56" s="19"/>
      <c r="I56" s="19"/>
      <c r="J56" s="20"/>
      <c r="K56" s="20"/>
      <c r="L56" s="19"/>
      <c r="M56" s="19"/>
      <c r="N56" s="19"/>
      <c r="O56" s="20"/>
      <c r="P56" s="20"/>
    </row>
    <row r="57" customFormat="false" ht="14.25" hidden="false" customHeight="true" outlineLevel="0" collapsed="false">
      <c r="A57" s="3" t="s">
        <v>1259</v>
      </c>
      <c r="B57" s="3" t="s">
        <v>1260</v>
      </c>
      <c r="C57" s="3" t="n">
        <v>221029</v>
      </c>
      <c r="D57" s="3" t="s">
        <v>1272</v>
      </c>
      <c r="E57" s="18" t="n">
        <v>45008</v>
      </c>
      <c r="F57" s="3" t="s">
        <v>1262</v>
      </c>
      <c r="G57" s="3" t="s">
        <v>5</v>
      </c>
      <c r="H57" s="19"/>
      <c r="I57" s="19"/>
      <c r="J57" s="20"/>
      <c r="K57" s="20"/>
      <c r="L57" s="19"/>
      <c r="M57" s="19"/>
      <c r="N57" s="19"/>
      <c r="O57" s="20"/>
      <c r="P57" s="20"/>
    </row>
    <row r="58" customFormat="false" ht="14.25" hidden="false" customHeight="true" outlineLevel="0" collapsed="false">
      <c r="A58" s="3" t="s">
        <v>1259</v>
      </c>
      <c r="B58" s="3" t="s">
        <v>1260</v>
      </c>
      <c r="C58" s="3" t="n">
        <v>221029</v>
      </c>
      <c r="D58" s="3" t="s">
        <v>1273</v>
      </c>
      <c r="E58" s="18" t="n">
        <v>45020</v>
      </c>
      <c r="F58" s="3" t="s">
        <v>1262</v>
      </c>
      <c r="G58" s="3" t="s">
        <v>5</v>
      </c>
      <c r="H58" s="19"/>
      <c r="I58" s="19"/>
      <c r="J58" s="20"/>
      <c r="K58" s="20"/>
      <c r="L58" s="19"/>
      <c r="M58" s="19"/>
      <c r="N58" s="19"/>
      <c r="O58" s="20"/>
      <c r="P58" s="20"/>
    </row>
    <row r="59" customFormat="false" ht="14.25" hidden="false" customHeight="true" outlineLevel="0" collapsed="false">
      <c r="A59" s="3" t="s">
        <v>1259</v>
      </c>
      <c r="B59" s="3" t="s">
        <v>1260</v>
      </c>
      <c r="C59" s="3" t="n">
        <v>221029</v>
      </c>
      <c r="D59" s="3" t="s">
        <v>1314</v>
      </c>
      <c r="E59" s="18" t="n">
        <v>45027</v>
      </c>
      <c r="F59" s="3" t="s">
        <v>1262</v>
      </c>
      <c r="G59" s="3" t="s">
        <v>1275</v>
      </c>
      <c r="H59" s="19"/>
      <c r="I59" s="19"/>
      <c r="J59" s="20"/>
      <c r="K59" s="20"/>
      <c r="L59" s="19"/>
      <c r="M59" s="19"/>
      <c r="N59" s="19"/>
      <c r="O59" s="20"/>
      <c r="P59" s="20"/>
    </row>
    <row r="60" customFormat="false" ht="14.25" hidden="false" customHeight="true" outlineLevel="0" collapsed="false">
      <c r="A60" s="3" t="s">
        <v>1259</v>
      </c>
      <c r="B60" s="3" t="s">
        <v>1260</v>
      </c>
      <c r="C60" s="3" t="n">
        <v>221029</v>
      </c>
      <c r="D60" s="3" t="s">
        <v>1276</v>
      </c>
      <c r="E60" s="18" t="n">
        <v>45034</v>
      </c>
      <c r="F60" s="3" t="s">
        <v>1262</v>
      </c>
      <c r="G60" s="3" t="s">
        <v>5</v>
      </c>
      <c r="H60" s="19"/>
      <c r="I60" s="19"/>
      <c r="J60" s="20"/>
      <c r="K60" s="20"/>
      <c r="L60" s="19"/>
      <c r="M60" s="19"/>
      <c r="N60" s="19"/>
      <c r="O60" s="20"/>
      <c r="P60" s="20"/>
    </row>
    <row r="61" customFormat="false" ht="14.25" hidden="false" customHeight="true" outlineLevel="0" collapsed="false">
      <c r="A61" s="3" t="s">
        <v>1259</v>
      </c>
      <c r="B61" s="3" t="s">
        <v>1260</v>
      </c>
      <c r="C61" s="3" t="n">
        <v>221029</v>
      </c>
      <c r="D61" s="3" t="s">
        <v>1277</v>
      </c>
      <c r="E61" s="18" t="n">
        <v>45048</v>
      </c>
      <c r="F61" s="3" t="s">
        <v>1262</v>
      </c>
      <c r="G61" s="3" t="s">
        <v>5</v>
      </c>
      <c r="H61" s="19"/>
      <c r="I61" s="19"/>
      <c r="J61" s="20"/>
      <c r="K61" s="20"/>
      <c r="L61" s="19"/>
      <c r="M61" s="19"/>
      <c r="N61" s="19"/>
      <c r="O61" s="20"/>
      <c r="P61" s="20"/>
    </row>
    <row r="62" customFormat="false" ht="14.25" hidden="false" customHeight="true" outlineLevel="0" collapsed="false">
      <c r="A62" s="3" t="s">
        <v>1259</v>
      </c>
      <c r="B62" s="3" t="s">
        <v>1260</v>
      </c>
      <c r="C62" s="3" t="n">
        <v>221029</v>
      </c>
      <c r="D62" s="3" t="s">
        <v>1278</v>
      </c>
      <c r="E62" s="18" t="n">
        <v>45062</v>
      </c>
      <c r="F62" s="3" t="s">
        <v>1262</v>
      </c>
      <c r="G62" s="3" t="s">
        <v>5</v>
      </c>
      <c r="H62" s="19"/>
      <c r="I62" s="19"/>
      <c r="J62" s="20"/>
      <c r="K62" s="20"/>
      <c r="L62" s="19"/>
      <c r="M62" s="19"/>
      <c r="N62" s="19"/>
      <c r="O62" s="20"/>
      <c r="P62" s="20"/>
    </row>
    <row r="63" customFormat="false" ht="14.25" hidden="false" customHeight="true" outlineLevel="0" collapsed="false">
      <c r="A63" s="3" t="s">
        <v>1259</v>
      </c>
      <c r="B63" s="3" t="s">
        <v>1260</v>
      </c>
      <c r="C63" s="3" t="n">
        <v>221029</v>
      </c>
      <c r="D63" s="3" t="s">
        <v>1279</v>
      </c>
      <c r="E63" s="18" t="n">
        <v>45076</v>
      </c>
      <c r="F63" s="3" t="s">
        <v>1262</v>
      </c>
      <c r="G63" s="3" t="s">
        <v>5</v>
      </c>
      <c r="H63" s="19"/>
      <c r="I63" s="19"/>
      <c r="J63" s="20"/>
      <c r="K63" s="20"/>
      <c r="L63" s="19"/>
      <c r="M63" s="19"/>
      <c r="N63" s="19"/>
      <c r="O63" s="20"/>
      <c r="P63" s="20"/>
    </row>
    <row r="64" customFormat="false" ht="14.25" hidden="false" customHeight="true" outlineLevel="0" collapsed="false">
      <c r="A64" s="3" t="s">
        <v>1259</v>
      </c>
      <c r="B64" s="3" t="s">
        <v>1260</v>
      </c>
      <c r="C64" s="3" t="n">
        <v>221029</v>
      </c>
      <c r="D64" s="3" t="s">
        <v>1280</v>
      </c>
      <c r="E64" s="18" t="n">
        <v>45084</v>
      </c>
      <c r="F64" s="3" t="s">
        <v>1262</v>
      </c>
      <c r="G64" s="3" t="s">
        <v>1275</v>
      </c>
      <c r="H64" s="19"/>
      <c r="I64" s="19"/>
      <c r="J64" s="20"/>
      <c r="K64" s="20"/>
      <c r="L64" s="19"/>
      <c r="M64" s="19"/>
      <c r="N64" s="19"/>
      <c r="O64" s="20"/>
      <c r="P64" s="20"/>
    </row>
    <row r="65" customFormat="false" ht="14.25" hidden="false" customHeight="true" outlineLevel="0" collapsed="false">
      <c r="A65" s="3" t="s">
        <v>1259</v>
      </c>
      <c r="B65" s="3" t="s">
        <v>1260</v>
      </c>
      <c r="C65" s="3" t="n">
        <v>221029</v>
      </c>
      <c r="D65" s="3" t="s">
        <v>1281</v>
      </c>
      <c r="E65" s="18" t="n">
        <v>45090</v>
      </c>
      <c r="F65" s="3" t="s">
        <v>1262</v>
      </c>
      <c r="G65" s="3" t="s">
        <v>5</v>
      </c>
      <c r="H65" s="19"/>
      <c r="I65" s="19"/>
      <c r="J65" s="20"/>
      <c r="K65" s="20"/>
      <c r="L65" s="19"/>
      <c r="M65" s="19"/>
      <c r="N65" s="19"/>
      <c r="O65" s="20"/>
      <c r="P65" s="20"/>
    </row>
    <row r="66" customFormat="false" ht="14.25" hidden="false" customHeight="true" outlineLevel="0" collapsed="false">
      <c r="A66" s="3" t="s">
        <v>1259</v>
      </c>
      <c r="B66" s="3" t="s">
        <v>1260</v>
      </c>
      <c r="C66" s="3" t="n">
        <v>221029</v>
      </c>
      <c r="D66" s="3" t="s">
        <v>1282</v>
      </c>
      <c r="E66" s="18" t="n">
        <v>45104</v>
      </c>
      <c r="F66" s="3" t="s">
        <v>1262</v>
      </c>
      <c r="G66" s="3" t="s">
        <v>5</v>
      </c>
      <c r="H66" s="19"/>
      <c r="I66" s="19"/>
      <c r="J66" s="20"/>
      <c r="K66" s="20"/>
      <c r="L66" s="19"/>
      <c r="M66" s="19"/>
      <c r="N66" s="19"/>
      <c r="O66" s="20"/>
      <c r="P66" s="20"/>
    </row>
    <row r="67" customFormat="false" ht="14.25" hidden="false" customHeight="true" outlineLevel="0" collapsed="false">
      <c r="A67" s="3" t="s">
        <v>1259</v>
      </c>
      <c r="B67" s="3" t="s">
        <v>1260</v>
      </c>
      <c r="C67" s="3" t="n">
        <v>221029</v>
      </c>
      <c r="D67" s="3" t="s">
        <v>1283</v>
      </c>
      <c r="E67" s="18" t="n">
        <v>45118</v>
      </c>
      <c r="F67" s="3" t="s">
        <v>1262</v>
      </c>
      <c r="G67" s="3" t="s">
        <v>5</v>
      </c>
      <c r="H67" s="19"/>
      <c r="I67" s="19"/>
      <c r="J67" s="20"/>
      <c r="K67" s="20"/>
      <c r="L67" s="19"/>
      <c r="M67" s="19"/>
      <c r="N67" s="19"/>
      <c r="O67" s="20"/>
      <c r="P67" s="20"/>
    </row>
    <row r="68" customFormat="false" ht="14.25" hidden="false" customHeight="true" outlineLevel="0" collapsed="false">
      <c r="A68" s="3" t="s">
        <v>1259</v>
      </c>
      <c r="B68" s="3" t="s">
        <v>1260</v>
      </c>
      <c r="C68" s="3" t="n">
        <v>221029</v>
      </c>
      <c r="D68" s="3" t="s">
        <v>1284</v>
      </c>
      <c r="E68" s="18" t="n">
        <v>45132</v>
      </c>
      <c r="F68" s="3" t="s">
        <v>1262</v>
      </c>
      <c r="G68" s="3" t="s">
        <v>5</v>
      </c>
      <c r="H68" s="19"/>
      <c r="I68" s="19"/>
      <c r="J68" s="20"/>
      <c r="K68" s="20"/>
      <c r="L68" s="19"/>
      <c r="M68" s="19"/>
      <c r="N68" s="19"/>
      <c r="O68" s="20"/>
      <c r="P68" s="20"/>
    </row>
    <row r="69" customFormat="false" ht="14.25" hidden="false" customHeight="true" outlineLevel="0" collapsed="false">
      <c r="A69" s="3" t="s">
        <v>1259</v>
      </c>
      <c r="B69" s="3" t="s">
        <v>1260</v>
      </c>
      <c r="C69" s="3" t="n">
        <v>221029</v>
      </c>
      <c r="D69" s="3" t="s">
        <v>1315</v>
      </c>
      <c r="E69" s="18" t="n">
        <v>45139</v>
      </c>
      <c r="F69" s="3" t="s">
        <v>1262</v>
      </c>
      <c r="G69" s="3" t="s">
        <v>1275</v>
      </c>
      <c r="H69" s="19"/>
      <c r="I69" s="19"/>
      <c r="J69" s="20"/>
      <c r="K69" s="20"/>
      <c r="L69" s="19"/>
      <c r="M69" s="19"/>
      <c r="N69" s="19"/>
      <c r="O69" s="20"/>
      <c r="P69" s="20"/>
    </row>
    <row r="70" customFormat="false" ht="14.25" hidden="false" customHeight="true" outlineLevel="0" collapsed="false">
      <c r="A70" s="3" t="s">
        <v>1259</v>
      </c>
      <c r="B70" s="3" t="s">
        <v>1260</v>
      </c>
      <c r="C70" s="3" t="n">
        <v>221029</v>
      </c>
      <c r="D70" s="3" t="s">
        <v>1286</v>
      </c>
      <c r="E70" s="18" t="n">
        <v>45152</v>
      </c>
      <c r="F70" s="3" t="s">
        <v>1262</v>
      </c>
      <c r="G70" s="3" t="s">
        <v>5</v>
      </c>
      <c r="H70" s="19"/>
      <c r="I70" s="19"/>
      <c r="J70" s="20"/>
      <c r="K70" s="20"/>
      <c r="L70" s="19"/>
      <c r="M70" s="19"/>
      <c r="N70" s="19"/>
      <c r="O70" s="20"/>
      <c r="P70" s="20"/>
    </row>
    <row r="71" customFormat="false" ht="14.25" hidden="false" customHeight="true" outlineLevel="0" collapsed="false">
      <c r="A71" s="3" t="s">
        <v>1259</v>
      </c>
      <c r="B71" s="3" t="s">
        <v>1260</v>
      </c>
      <c r="C71" s="3" t="n">
        <v>221029</v>
      </c>
      <c r="D71" s="3" t="s">
        <v>1287</v>
      </c>
      <c r="E71" s="18" t="n">
        <v>45160</v>
      </c>
      <c r="F71" s="3" t="s">
        <v>1262</v>
      </c>
      <c r="G71" s="3" t="s">
        <v>5</v>
      </c>
      <c r="H71" s="19"/>
      <c r="I71" s="19"/>
      <c r="J71" s="20"/>
      <c r="K71" s="20"/>
      <c r="L71" s="19"/>
      <c r="M71" s="19"/>
      <c r="N71" s="19"/>
      <c r="O71" s="20"/>
      <c r="P71" s="20"/>
    </row>
    <row r="72" customFormat="false" ht="14.25" hidden="false" customHeight="true" outlineLevel="0" collapsed="false">
      <c r="A72" s="3" t="s">
        <v>1259</v>
      </c>
      <c r="B72" s="3" t="s">
        <v>1260</v>
      </c>
      <c r="C72" s="3" t="n">
        <v>221029</v>
      </c>
      <c r="D72" s="3" t="s">
        <v>1288</v>
      </c>
      <c r="E72" s="18" t="n">
        <v>45174</v>
      </c>
      <c r="F72" s="3" t="s">
        <v>1262</v>
      </c>
      <c r="G72" s="3" t="s">
        <v>5</v>
      </c>
      <c r="H72" s="19"/>
      <c r="I72" s="19"/>
      <c r="J72" s="20"/>
      <c r="K72" s="20"/>
      <c r="L72" s="19"/>
      <c r="M72" s="19"/>
      <c r="N72" s="19"/>
      <c r="O72" s="20"/>
      <c r="P72" s="20"/>
    </row>
    <row r="73" customFormat="false" ht="14.25" hidden="false" customHeight="true" outlineLevel="0" collapsed="false">
      <c r="A73" s="3" t="s">
        <v>1259</v>
      </c>
      <c r="B73" s="3" t="s">
        <v>1260</v>
      </c>
      <c r="C73" s="3" t="n">
        <v>221029</v>
      </c>
      <c r="D73" s="3" t="s">
        <v>1289</v>
      </c>
      <c r="E73" s="18" t="n">
        <v>45188</v>
      </c>
      <c r="F73" s="3" t="s">
        <v>1262</v>
      </c>
      <c r="G73" s="3" t="s">
        <v>5</v>
      </c>
      <c r="H73" s="19"/>
      <c r="I73" s="19"/>
      <c r="J73" s="20"/>
      <c r="K73" s="20"/>
      <c r="L73" s="19"/>
      <c r="M73" s="19"/>
      <c r="N73" s="19"/>
      <c r="O73" s="20"/>
      <c r="P73" s="20"/>
    </row>
    <row r="74" customFormat="false" ht="14.25" hidden="false" customHeight="true" outlineLevel="0" collapsed="false">
      <c r="A74" s="3" t="s">
        <v>1259</v>
      </c>
      <c r="B74" s="3" t="s">
        <v>1260</v>
      </c>
      <c r="C74" s="3" t="n">
        <v>221029</v>
      </c>
      <c r="D74" s="3" t="s">
        <v>1290</v>
      </c>
      <c r="E74" s="18" t="n">
        <v>45203</v>
      </c>
      <c r="F74" s="3" t="s">
        <v>1262</v>
      </c>
      <c r="G74" s="3" t="s">
        <v>5</v>
      </c>
      <c r="H74" s="19"/>
      <c r="I74" s="19"/>
      <c r="J74" s="20"/>
      <c r="K74" s="20"/>
      <c r="L74" s="19"/>
      <c r="M74" s="19"/>
      <c r="N74" s="19"/>
      <c r="O74" s="20"/>
      <c r="P74" s="20"/>
    </row>
    <row r="75" customFormat="false" ht="14.25" hidden="false" customHeight="true" outlineLevel="0" collapsed="false">
      <c r="A75" s="3" t="s">
        <v>1259</v>
      </c>
      <c r="B75" s="3" t="s">
        <v>1260</v>
      </c>
      <c r="C75" s="3" t="n">
        <v>221029</v>
      </c>
      <c r="D75" s="3" t="s">
        <v>1291</v>
      </c>
      <c r="E75" s="18" t="n">
        <v>45203</v>
      </c>
      <c r="F75" s="3" t="s">
        <v>1262</v>
      </c>
      <c r="G75" s="3" t="s">
        <v>1275</v>
      </c>
      <c r="H75" s="19"/>
      <c r="I75" s="19"/>
      <c r="J75" s="20"/>
      <c r="K75" s="20"/>
      <c r="L75" s="19"/>
      <c r="M75" s="19"/>
      <c r="N75" s="19"/>
      <c r="O75" s="20"/>
      <c r="P75" s="20"/>
    </row>
    <row r="76" customFormat="false" ht="14.25" hidden="false" customHeight="true" outlineLevel="0" collapsed="false">
      <c r="A76" s="3" t="s">
        <v>1259</v>
      </c>
      <c r="B76" s="3" t="s">
        <v>1260</v>
      </c>
      <c r="C76" s="3" t="n">
        <v>221029</v>
      </c>
      <c r="D76" s="3" t="s">
        <v>1292</v>
      </c>
      <c r="E76" s="18" t="n">
        <v>45216</v>
      </c>
      <c r="F76" s="3" t="s">
        <v>1262</v>
      </c>
      <c r="G76" s="3" t="s">
        <v>5</v>
      </c>
      <c r="H76" s="19"/>
      <c r="I76" s="19"/>
      <c r="J76" s="20"/>
      <c r="K76" s="20"/>
      <c r="L76" s="19"/>
      <c r="M76" s="19"/>
      <c r="N76" s="19"/>
      <c r="O76" s="20"/>
      <c r="P76" s="20"/>
    </row>
    <row r="77" customFormat="false" ht="14.25" hidden="false" customHeight="true" outlineLevel="0" collapsed="false">
      <c r="A77" s="3" t="s">
        <v>1259</v>
      </c>
      <c r="B77" s="3" t="s">
        <v>1260</v>
      </c>
      <c r="C77" s="3" t="n">
        <v>221029</v>
      </c>
      <c r="D77" s="3" t="s">
        <v>1293</v>
      </c>
      <c r="E77" s="18" t="n">
        <v>45231</v>
      </c>
      <c r="F77" s="3" t="s">
        <v>1262</v>
      </c>
      <c r="G77" s="3" t="s">
        <v>5</v>
      </c>
      <c r="H77" s="19"/>
      <c r="I77" s="19"/>
      <c r="J77" s="20"/>
      <c r="K77" s="20"/>
      <c r="L77" s="19"/>
      <c r="M77" s="19"/>
      <c r="N77" s="19"/>
      <c r="O77" s="20"/>
      <c r="P77" s="20"/>
    </row>
    <row r="78" customFormat="false" ht="14.25" hidden="false" customHeight="true" outlineLevel="0" collapsed="false">
      <c r="A78" s="3" t="s">
        <v>1259</v>
      </c>
      <c r="B78" s="3" t="s">
        <v>1260</v>
      </c>
      <c r="C78" s="3" t="n">
        <v>221029</v>
      </c>
      <c r="D78" s="3" t="s">
        <v>1294</v>
      </c>
      <c r="E78" s="18" t="n">
        <v>45244</v>
      </c>
      <c r="F78" s="3" t="s">
        <v>1262</v>
      </c>
      <c r="G78" s="3" t="s">
        <v>5</v>
      </c>
      <c r="H78" s="19"/>
      <c r="I78" s="19"/>
      <c r="J78" s="20"/>
      <c r="K78" s="20"/>
      <c r="L78" s="19"/>
      <c r="M78" s="19"/>
      <c r="N78" s="19"/>
      <c r="O78" s="20"/>
      <c r="P78" s="20"/>
    </row>
    <row r="79" customFormat="false" ht="14.25" hidden="false" customHeight="true" outlineLevel="0" collapsed="false">
      <c r="A79" s="3" t="s">
        <v>1259</v>
      </c>
      <c r="B79" s="3" t="s">
        <v>1260</v>
      </c>
      <c r="C79" s="3" t="n">
        <v>221029</v>
      </c>
      <c r="D79" s="3" t="s">
        <v>1295</v>
      </c>
      <c r="E79" s="18" t="n">
        <v>45258</v>
      </c>
      <c r="F79" s="3" t="s">
        <v>1262</v>
      </c>
      <c r="G79" s="3" t="s">
        <v>5</v>
      </c>
      <c r="H79" s="19"/>
      <c r="I79" s="19"/>
      <c r="J79" s="20"/>
      <c r="K79" s="20"/>
      <c r="L79" s="19"/>
      <c r="M79" s="19"/>
      <c r="N79" s="19"/>
      <c r="O79" s="20"/>
      <c r="P79" s="20"/>
    </row>
    <row r="80" customFormat="false" ht="14.25" hidden="false" customHeight="true" outlineLevel="0" collapsed="false">
      <c r="A80" s="3" t="s">
        <v>1259</v>
      </c>
      <c r="B80" s="3" t="s">
        <v>1260</v>
      </c>
      <c r="C80" s="3" t="n">
        <v>221029</v>
      </c>
      <c r="D80" s="3" t="s">
        <v>1296</v>
      </c>
      <c r="E80" s="18" t="n">
        <v>45258</v>
      </c>
      <c r="F80" s="3" t="s">
        <v>1262</v>
      </c>
      <c r="G80" s="3" t="s">
        <v>1275</v>
      </c>
      <c r="H80" s="19"/>
      <c r="I80" s="19"/>
      <c r="J80" s="20"/>
      <c r="K80" s="20"/>
      <c r="L80" s="19"/>
      <c r="M80" s="19"/>
      <c r="N80" s="19"/>
      <c r="O80" s="20"/>
      <c r="P80" s="20"/>
    </row>
    <row r="81" customFormat="false" ht="14.25" hidden="false" customHeight="true" outlineLevel="0" collapsed="false">
      <c r="A81" s="3" t="s">
        <v>1259</v>
      </c>
      <c r="B81" s="3" t="s">
        <v>1260</v>
      </c>
      <c r="C81" s="3" t="n">
        <v>221029</v>
      </c>
      <c r="D81" s="3" t="s">
        <v>1297</v>
      </c>
      <c r="E81" s="18" t="n">
        <v>45272</v>
      </c>
      <c r="F81" s="3" t="s">
        <v>1262</v>
      </c>
      <c r="G81" s="3" t="s">
        <v>5</v>
      </c>
      <c r="H81" s="19"/>
      <c r="I81" s="19"/>
      <c r="J81" s="20"/>
      <c r="K81" s="20"/>
      <c r="L81" s="19"/>
      <c r="M81" s="19"/>
      <c r="N81" s="19"/>
      <c r="O81" s="20"/>
      <c r="P81" s="20"/>
    </row>
    <row r="82" customFormat="false" ht="14.25" hidden="false" customHeight="true" outlineLevel="0" collapsed="false">
      <c r="A82" s="3" t="s">
        <v>1259</v>
      </c>
      <c r="B82" s="3" t="s">
        <v>1260</v>
      </c>
      <c r="C82" s="3" t="n">
        <v>221029</v>
      </c>
      <c r="D82" s="3" t="s">
        <v>1298</v>
      </c>
      <c r="E82" s="18" t="n">
        <v>45286</v>
      </c>
      <c r="F82" s="3" t="s">
        <v>1262</v>
      </c>
      <c r="G82" s="3" t="s">
        <v>5</v>
      </c>
      <c r="H82" s="19"/>
      <c r="I82" s="19"/>
      <c r="J82" s="20"/>
      <c r="K82" s="20"/>
      <c r="L82" s="19"/>
      <c r="M82" s="19"/>
      <c r="N82" s="19"/>
      <c r="O82" s="20"/>
      <c r="P82" s="20"/>
    </row>
    <row r="83" customFormat="false" ht="14.25" hidden="false" customHeight="true" outlineLevel="0" collapsed="false">
      <c r="A83" s="3" t="s">
        <v>1259</v>
      </c>
      <c r="B83" s="3" t="s">
        <v>1260</v>
      </c>
      <c r="C83" s="3" t="n">
        <v>221029</v>
      </c>
      <c r="D83" s="3" t="s">
        <v>1299</v>
      </c>
      <c r="E83" s="18" t="n">
        <v>45300</v>
      </c>
      <c r="F83" s="3" t="s">
        <v>1262</v>
      </c>
      <c r="G83" s="3" t="s">
        <v>5</v>
      </c>
      <c r="H83" s="19"/>
      <c r="I83" s="19"/>
      <c r="J83" s="20"/>
      <c r="K83" s="20"/>
      <c r="L83" s="19"/>
      <c r="M83" s="19"/>
      <c r="N83" s="19"/>
      <c r="O83" s="20"/>
      <c r="P83" s="20"/>
    </row>
    <row r="84" customFormat="false" ht="14.25" hidden="false" customHeight="true" outlineLevel="0" collapsed="false">
      <c r="A84" s="3" t="s">
        <v>1259</v>
      </c>
      <c r="B84" s="3" t="s">
        <v>1260</v>
      </c>
      <c r="C84" s="3" t="n">
        <v>221029</v>
      </c>
      <c r="D84" s="3" t="s">
        <v>1300</v>
      </c>
      <c r="E84" s="18" t="n">
        <v>45314</v>
      </c>
      <c r="F84" s="3" t="s">
        <v>1262</v>
      </c>
      <c r="G84" s="3" t="s">
        <v>5</v>
      </c>
      <c r="H84" s="19"/>
      <c r="I84" s="19"/>
      <c r="J84" s="20"/>
      <c r="K84" s="20"/>
      <c r="L84" s="19"/>
      <c r="M84" s="19"/>
      <c r="N84" s="19"/>
      <c r="O84" s="20"/>
      <c r="P84" s="20"/>
    </row>
    <row r="85" customFormat="false" ht="14.25" hidden="false" customHeight="true" outlineLevel="0" collapsed="false">
      <c r="A85" s="3" t="s">
        <v>1259</v>
      </c>
      <c r="B85" s="3" t="s">
        <v>1260</v>
      </c>
      <c r="C85" s="3" t="n">
        <v>221029</v>
      </c>
      <c r="D85" s="3" t="s">
        <v>1301</v>
      </c>
      <c r="E85" s="18" t="n">
        <v>45314</v>
      </c>
      <c r="F85" s="3" t="s">
        <v>1262</v>
      </c>
      <c r="G85" s="3" t="s">
        <v>1275</v>
      </c>
      <c r="H85" s="19"/>
      <c r="I85" s="19"/>
      <c r="J85" s="20"/>
      <c r="K85" s="20"/>
      <c r="L85" s="19"/>
      <c r="M85" s="19"/>
      <c r="N85" s="19"/>
      <c r="O85" s="20"/>
      <c r="P85" s="20"/>
    </row>
    <row r="86" customFormat="false" ht="14.25" hidden="false" customHeight="true" outlineLevel="0" collapsed="false">
      <c r="A86" s="3" t="s">
        <v>1259</v>
      </c>
      <c r="B86" s="3" t="s">
        <v>1260</v>
      </c>
      <c r="C86" s="3" t="n">
        <v>221029</v>
      </c>
      <c r="D86" s="3" t="s">
        <v>1302</v>
      </c>
      <c r="E86" s="18" t="n">
        <v>45328</v>
      </c>
      <c r="F86" s="3" t="s">
        <v>1262</v>
      </c>
      <c r="G86" s="3" t="s">
        <v>5</v>
      </c>
      <c r="H86" s="19"/>
      <c r="I86" s="19"/>
      <c r="J86" s="20"/>
      <c r="K86" s="20"/>
      <c r="L86" s="19"/>
      <c r="M86" s="19"/>
      <c r="N86" s="19"/>
      <c r="O86" s="20"/>
      <c r="P86" s="20"/>
    </row>
    <row r="87" customFormat="false" ht="14.25" hidden="false" customHeight="true" outlineLevel="0" collapsed="false">
      <c r="A87" s="3" t="s">
        <v>1259</v>
      </c>
      <c r="B87" s="3" t="s">
        <v>1260</v>
      </c>
      <c r="C87" s="3" t="n">
        <v>221029</v>
      </c>
      <c r="D87" s="3" t="s">
        <v>1303</v>
      </c>
      <c r="E87" s="18" t="n">
        <v>45342</v>
      </c>
      <c r="F87" s="3" t="s">
        <v>1262</v>
      </c>
      <c r="G87" s="3" t="s">
        <v>5</v>
      </c>
      <c r="H87" s="19"/>
      <c r="I87" s="19"/>
      <c r="J87" s="20"/>
      <c r="K87" s="20"/>
      <c r="L87" s="19"/>
      <c r="M87" s="19"/>
      <c r="N87" s="19"/>
      <c r="O87" s="20"/>
      <c r="P87" s="20"/>
    </row>
    <row r="88" customFormat="false" ht="14.25" hidden="false" customHeight="true" outlineLevel="0" collapsed="false">
      <c r="A88" s="3" t="s">
        <v>1259</v>
      </c>
      <c r="B88" s="3" t="s">
        <v>1260</v>
      </c>
      <c r="C88" s="3" t="n">
        <v>221029</v>
      </c>
      <c r="D88" s="3" t="s">
        <v>1304</v>
      </c>
      <c r="E88" s="18" t="n">
        <v>45356</v>
      </c>
      <c r="F88" s="3" t="s">
        <v>1262</v>
      </c>
      <c r="G88" s="3" t="s">
        <v>5</v>
      </c>
      <c r="H88" s="19"/>
      <c r="I88" s="19"/>
      <c r="J88" s="20"/>
      <c r="K88" s="20"/>
      <c r="L88" s="19"/>
      <c r="M88" s="19"/>
      <c r="N88" s="19"/>
      <c r="O88" s="20"/>
      <c r="P88" s="20"/>
    </row>
    <row r="89" customFormat="false" ht="14.25" hidden="false" customHeight="true" outlineLevel="0" collapsed="false">
      <c r="A89" s="3" t="s">
        <v>1259</v>
      </c>
      <c r="B89" s="3" t="s">
        <v>1260</v>
      </c>
      <c r="C89" s="3" t="n">
        <v>221029</v>
      </c>
      <c r="D89" s="3" t="s">
        <v>1305</v>
      </c>
      <c r="E89" s="18" t="n">
        <v>45370</v>
      </c>
      <c r="F89" s="3" t="s">
        <v>1262</v>
      </c>
      <c r="G89" s="3" t="s">
        <v>5</v>
      </c>
      <c r="H89" s="19"/>
      <c r="I89" s="19"/>
      <c r="J89" s="20"/>
      <c r="K89" s="20"/>
      <c r="L89" s="19"/>
      <c r="M89" s="19"/>
      <c r="N89" s="19"/>
      <c r="O89" s="20"/>
      <c r="P89" s="20"/>
    </row>
    <row r="90" customFormat="false" ht="14.25" hidden="false" customHeight="true" outlineLevel="0" collapsed="false">
      <c r="A90" s="3" t="s">
        <v>1259</v>
      </c>
      <c r="B90" s="3" t="s">
        <v>1260</v>
      </c>
      <c r="C90" s="3" t="n">
        <v>221029</v>
      </c>
      <c r="D90" s="3" t="s">
        <v>1306</v>
      </c>
      <c r="E90" s="18" t="n">
        <v>45370</v>
      </c>
      <c r="F90" s="3" t="s">
        <v>1262</v>
      </c>
      <c r="G90" s="3" t="s">
        <v>1275</v>
      </c>
      <c r="H90" s="19"/>
      <c r="I90" s="19"/>
      <c r="J90" s="20"/>
      <c r="K90" s="20"/>
      <c r="L90" s="19"/>
      <c r="M90" s="19"/>
      <c r="N90" s="19"/>
      <c r="O90" s="20"/>
      <c r="P90" s="20"/>
    </row>
    <row r="91" customFormat="false" ht="14.25" hidden="false" customHeight="true" outlineLevel="0" collapsed="false">
      <c r="A91" s="3" t="s">
        <v>1259</v>
      </c>
      <c r="B91" s="3" t="s">
        <v>1260</v>
      </c>
      <c r="C91" s="3" t="n">
        <v>221029</v>
      </c>
      <c r="D91" s="3" t="s">
        <v>1307</v>
      </c>
      <c r="E91" s="18" t="n">
        <v>45384</v>
      </c>
      <c r="F91" s="3" t="s">
        <v>1262</v>
      </c>
      <c r="G91" s="3" t="s">
        <v>5</v>
      </c>
      <c r="H91" s="19"/>
      <c r="I91" s="19"/>
      <c r="J91" s="20"/>
      <c r="K91" s="20"/>
      <c r="L91" s="19"/>
      <c r="M91" s="19"/>
      <c r="N91" s="19"/>
      <c r="O91" s="20"/>
      <c r="P91" s="20"/>
    </row>
    <row r="92" customFormat="false" ht="14.25" hidden="false" customHeight="true" outlineLevel="0" collapsed="false">
      <c r="A92" s="3" t="s">
        <v>1259</v>
      </c>
      <c r="B92" s="3" t="s">
        <v>1260</v>
      </c>
      <c r="C92" s="3" t="n">
        <v>221029</v>
      </c>
      <c r="D92" s="3" t="s">
        <v>1308</v>
      </c>
      <c r="E92" s="18" t="n">
        <v>45398</v>
      </c>
      <c r="F92" s="3" t="s">
        <v>1262</v>
      </c>
      <c r="G92" s="3" t="s">
        <v>5</v>
      </c>
      <c r="H92" s="19"/>
      <c r="I92" s="19"/>
      <c r="J92" s="20"/>
      <c r="K92" s="20"/>
      <c r="L92" s="19"/>
      <c r="M92" s="19"/>
      <c r="N92" s="19"/>
      <c r="O92" s="20"/>
      <c r="P92" s="20"/>
    </row>
    <row r="93" customFormat="false" ht="14.25" hidden="false" customHeight="true" outlineLevel="0" collapsed="false">
      <c r="A93" s="3" t="s">
        <v>1259</v>
      </c>
      <c r="B93" s="3" t="s">
        <v>1260</v>
      </c>
      <c r="C93" s="3" t="n">
        <v>221029</v>
      </c>
      <c r="D93" s="3" t="s">
        <v>1310</v>
      </c>
      <c r="E93" s="18" t="n">
        <v>45426</v>
      </c>
      <c r="F93" s="3" t="s">
        <v>1262</v>
      </c>
      <c r="G93" s="3" t="s">
        <v>5</v>
      </c>
      <c r="H93" s="19"/>
      <c r="I93" s="19"/>
      <c r="J93" s="20"/>
      <c r="K93" s="20"/>
      <c r="L93" s="19"/>
      <c r="M93" s="19"/>
      <c r="N93" s="19"/>
      <c r="O93" s="20"/>
      <c r="P93" s="20"/>
    </row>
    <row r="94" customFormat="false" ht="14.25" hidden="false" customHeight="true" outlineLevel="0" collapsed="false">
      <c r="A94" s="3" t="s">
        <v>1259</v>
      </c>
      <c r="B94" s="3" t="s">
        <v>1260</v>
      </c>
      <c r="C94" s="3" t="n">
        <v>221029</v>
      </c>
      <c r="D94" s="3" t="s">
        <v>1311</v>
      </c>
      <c r="E94" s="18" t="n">
        <v>45426</v>
      </c>
      <c r="F94" s="3" t="s">
        <v>1262</v>
      </c>
      <c r="G94" s="3" t="s">
        <v>1275</v>
      </c>
      <c r="H94" s="19"/>
      <c r="I94" s="19"/>
      <c r="J94" s="20"/>
      <c r="K94" s="20"/>
      <c r="L94" s="19"/>
      <c r="M94" s="19"/>
      <c r="N94" s="19"/>
      <c r="O94" s="20"/>
      <c r="P94" s="20"/>
    </row>
    <row r="95" customFormat="false" ht="14.25" hidden="false" customHeight="true" outlineLevel="0" collapsed="false">
      <c r="A95" s="3" t="s">
        <v>1259</v>
      </c>
      <c r="B95" s="3" t="s">
        <v>1260</v>
      </c>
      <c r="C95" s="3" t="n">
        <v>221029</v>
      </c>
      <c r="D95" s="3" t="s">
        <v>1309</v>
      </c>
      <c r="F95" s="3" t="s">
        <v>1262</v>
      </c>
      <c r="G95" s="3" t="s">
        <v>5</v>
      </c>
      <c r="H95" s="19"/>
      <c r="I95" s="19"/>
      <c r="J95" s="20"/>
      <c r="K95" s="20"/>
      <c r="L95" s="19"/>
      <c r="M95" s="19"/>
      <c r="N95" s="19"/>
      <c r="O95" s="20"/>
      <c r="P95" s="20"/>
    </row>
    <row r="96" customFormat="false" ht="14.25" hidden="false" customHeight="true" outlineLevel="0" collapsed="false">
      <c r="A96" s="3" t="s">
        <v>1259</v>
      </c>
      <c r="B96" s="3" t="s">
        <v>1260</v>
      </c>
      <c r="C96" s="3" t="n">
        <v>221035</v>
      </c>
      <c r="D96" s="3" t="s">
        <v>1261</v>
      </c>
      <c r="E96" s="18" t="n">
        <v>44971</v>
      </c>
      <c r="F96" s="3" t="s">
        <v>1262</v>
      </c>
      <c r="G96" s="3" t="s">
        <v>5</v>
      </c>
      <c r="H96" s="19" t="n">
        <v>44971</v>
      </c>
      <c r="I96" s="19" t="n">
        <v>44796</v>
      </c>
      <c r="J96" s="20" t="n">
        <v>54</v>
      </c>
      <c r="K96" s="20" t="s">
        <v>1313</v>
      </c>
      <c r="L96" s="19" t="s">
        <v>12</v>
      </c>
      <c r="M96" s="19"/>
      <c r="N96" s="19"/>
      <c r="O96" s="20"/>
      <c r="P96" s="20"/>
    </row>
    <row r="97" customFormat="false" ht="14.25" hidden="false" customHeight="true" outlineLevel="0" collapsed="false">
      <c r="A97" s="3" t="s">
        <v>1259</v>
      </c>
      <c r="B97" s="3" t="s">
        <v>1260</v>
      </c>
      <c r="C97" s="3" t="n">
        <v>221035</v>
      </c>
      <c r="D97" s="3" t="s">
        <v>1264</v>
      </c>
      <c r="E97" s="18" t="n">
        <v>44979</v>
      </c>
      <c r="F97" s="3" t="s">
        <v>1262</v>
      </c>
      <c r="G97" s="3" t="s">
        <v>5</v>
      </c>
      <c r="H97" s="19"/>
      <c r="I97" s="19"/>
      <c r="J97" s="20"/>
      <c r="K97" s="20"/>
      <c r="L97" s="19"/>
      <c r="M97" s="19"/>
      <c r="N97" s="19"/>
      <c r="O97" s="20"/>
      <c r="P97" s="20"/>
    </row>
    <row r="98" customFormat="false" ht="14.25" hidden="false" customHeight="true" outlineLevel="0" collapsed="false">
      <c r="A98" s="3" t="s">
        <v>1259</v>
      </c>
      <c r="B98" s="3" t="s">
        <v>1260</v>
      </c>
      <c r="C98" s="3" t="n">
        <v>221035</v>
      </c>
      <c r="D98" s="3" t="s">
        <v>1265</v>
      </c>
      <c r="E98" s="18" t="n">
        <v>44981</v>
      </c>
      <c r="F98" s="3" t="s">
        <v>1262</v>
      </c>
      <c r="G98" s="3" t="s">
        <v>5</v>
      </c>
      <c r="H98" s="19"/>
      <c r="I98" s="19"/>
      <c r="J98" s="20"/>
      <c r="K98" s="20"/>
      <c r="L98" s="19"/>
      <c r="M98" s="19"/>
      <c r="N98" s="19"/>
      <c r="O98" s="20"/>
      <c r="P98" s="20"/>
    </row>
    <row r="99" customFormat="false" ht="14.25" hidden="false" customHeight="true" outlineLevel="0" collapsed="false">
      <c r="A99" s="3" t="s">
        <v>1259</v>
      </c>
      <c r="B99" s="3" t="s">
        <v>1260</v>
      </c>
      <c r="C99" s="3" t="n">
        <v>221035</v>
      </c>
      <c r="D99" s="3" t="s">
        <v>1266</v>
      </c>
      <c r="E99" s="18" t="n">
        <v>44987</v>
      </c>
      <c r="F99" s="3" t="s">
        <v>1262</v>
      </c>
      <c r="G99" s="3" t="s">
        <v>5</v>
      </c>
      <c r="H99" s="19"/>
      <c r="I99" s="19"/>
      <c r="J99" s="20"/>
      <c r="K99" s="20"/>
      <c r="L99" s="19"/>
      <c r="M99" s="19"/>
      <c r="N99" s="19"/>
      <c r="O99" s="20"/>
      <c r="P99" s="20"/>
    </row>
    <row r="100" customFormat="false" ht="14.25" hidden="false" customHeight="true" outlineLevel="0" collapsed="false">
      <c r="A100" s="3" t="s">
        <v>1259</v>
      </c>
      <c r="B100" s="3" t="s">
        <v>1260</v>
      </c>
      <c r="C100" s="3" t="n">
        <v>221035</v>
      </c>
      <c r="D100" s="3" t="s">
        <v>1269</v>
      </c>
      <c r="E100" s="18" t="n">
        <v>44994</v>
      </c>
      <c r="F100" s="3" t="s">
        <v>1262</v>
      </c>
      <c r="G100" s="3" t="s">
        <v>5</v>
      </c>
      <c r="H100" s="19"/>
      <c r="I100" s="19"/>
      <c r="J100" s="20"/>
      <c r="K100" s="20"/>
      <c r="L100" s="19"/>
      <c r="M100" s="19"/>
      <c r="N100" s="19"/>
      <c r="O100" s="20"/>
      <c r="P100" s="20"/>
    </row>
    <row r="101" customFormat="false" ht="14.25" hidden="false" customHeight="true" outlineLevel="0" collapsed="false">
      <c r="A101" s="3" t="s">
        <v>1259</v>
      </c>
      <c r="B101" s="3" t="s">
        <v>1260</v>
      </c>
      <c r="C101" s="3" t="n">
        <v>221035</v>
      </c>
      <c r="D101" s="3" t="s">
        <v>1270</v>
      </c>
      <c r="E101" s="18" t="n">
        <v>45001</v>
      </c>
      <c r="F101" s="3" t="s">
        <v>1262</v>
      </c>
      <c r="G101" s="3" t="s">
        <v>5</v>
      </c>
      <c r="H101" s="19"/>
      <c r="I101" s="19"/>
      <c r="J101" s="20"/>
      <c r="K101" s="20"/>
      <c r="L101" s="19"/>
      <c r="M101" s="19"/>
      <c r="N101" s="19"/>
      <c r="O101" s="20"/>
      <c r="P101" s="20"/>
    </row>
    <row r="102" customFormat="false" ht="14.25" hidden="false" customHeight="true" outlineLevel="0" collapsed="false">
      <c r="A102" s="3" t="s">
        <v>1259</v>
      </c>
      <c r="B102" s="3" t="s">
        <v>1260</v>
      </c>
      <c r="C102" s="3" t="n">
        <v>221035</v>
      </c>
      <c r="D102" s="3" t="s">
        <v>1271</v>
      </c>
      <c r="E102" s="18" t="n">
        <v>45006</v>
      </c>
      <c r="F102" s="3" t="s">
        <v>1262</v>
      </c>
      <c r="G102" s="3" t="s">
        <v>5</v>
      </c>
      <c r="H102" s="19"/>
      <c r="I102" s="19"/>
      <c r="J102" s="20"/>
      <c r="K102" s="20"/>
      <c r="L102" s="19"/>
      <c r="M102" s="19"/>
      <c r="N102" s="19"/>
      <c r="O102" s="20"/>
      <c r="P102" s="20"/>
    </row>
    <row r="103" customFormat="false" ht="14.25" hidden="false" customHeight="true" outlineLevel="0" collapsed="false">
      <c r="A103" s="3" t="s">
        <v>1259</v>
      </c>
      <c r="B103" s="3" t="s">
        <v>1260</v>
      </c>
      <c r="C103" s="3" t="n">
        <v>221035</v>
      </c>
      <c r="D103" s="3" t="s">
        <v>1272</v>
      </c>
      <c r="E103" s="18" t="n">
        <v>45008</v>
      </c>
      <c r="F103" s="3" t="s">
        <v>1262</v>
      </c>
      <c r="G103" s="3" t="s">
        <v>5</v>
      </c>
      <c r="H103" s="19"/>
      <c r="I103" s="19"/>
      <c r="J103" s="20"/>
      <c r="K103" s="20"/>
      <c r="L103" s="19"/>
      <c r="M103" s="19"/>
      <c r="N103" s="19"/>
      <c r="O103" s="20"/>
      <c r="P103" s="20"/>
    </row>
    <row r="104" customFormat="false" ht="14.25" hidden="false" customHeight="true" outlineLevel="0" collapsed="false">
      <c r="A104" s="3" t="s">
        <v>1259</v>
      </c>
      <c r="B104" s="3" t="s">
        <v>1260</v>
      </c>
      <c r="C104" s="3" t="n">
        <v>221035</v>
      </c>
      <c r="D104" s="3" t="s">
        <v>1273</v>
      </c>
      <c r="E104" s="18" t="n">
        <v>45022</v>
      </c>
      <c r="F104" s="3" t="s">
        <v>1262</v>
      </c>
      <c r="G104" s="3" t="s">
        <v>5</v>
      </c>
      <c r="H104" s="19"/>
      <c r="I104" s="19"/>
      <c r="J104" s="20"/>
      <c r="K104" s="20"/>
      <c r="L104" s="19"/>
      <c r="M104" s="19"/>
      <c r="N104" s="19"/>
      <c r="O104" s="20"/>
      <c r="P104" s="20"/>
    </row>
    <row r="105" customFormat="false" ht="14.25" hidden="false" customHeight="true" outlineLevel="0" collapsed="false">
      <c r="A105" s="3" t="s">
        <v>1259</v>
      </c>
      <c r="B105" s="3" t="s">
        <v>1260</v>
      </c>
      <c r="C105" s="3" t="n">
        <v>221035</v>
      </c>
      <c r="D105" s="3" t="s">
        <v>1276</v>
      </c>
      <c r="E105" s="18" t="n">
        <v>45036</v>
      </c>
      <c r="F105" s="3" t="s">
        <v>1262</v>
      </c>
      <c r="G105" s="3" t="s">
        <v>5</v>
      </c>
      <c r="H105" s="19"/>
      <c r="I105" s="19"/>
      <c r="J105" s="20"/>
      <c r="K105" s="20"/>
      <c r="L105" s="19"/>
      <c r="M105" s="19"/>
      <c r="N105" s="19"/>
      <c r="O105" s="20"/>
      <c r="P105" s="20"/>
    </row>
    <row r="106" customFormat="false" ht="14.25" hidden="false" customHeight="true" outlineLevel="0" collapsed="false">
      <c r="A106" s="3" t="s">
        <v>1259</v>
      </c>
      <c r="B106" s="3" t="s">
        <v>1260</v>
      </c>
      <c r="C106" s="3" t="n">
        <v>221035</v>
      </c>
      <c r="D106" s="3" t="s">
        <v>1316</v>
      </c>
      <c r="E106" s="18" t="n">
        <v>45036</v>
      </c>
      <c r="F106" s="3" t="s">
        <v>1262</v>
      </c>
      <c r="G106" s="3" t="s">
        <v>1275</v>
      </c>
      <c r="H106" s="19"/>
      <c r="I106" s="19"/>
      <c r="J106" s="20"/>
      <c r="K106" s="20"/>
      <c r="L106" s="19"/>
      <c r="M106" s="19"/>
      <c r="N106" s="19"/>
      <c r="O106" s="20"/>
      <c r="P106" s="20"/>
    </row>
    <row r="107" customFormat="false" ht="14.25" hidden="false" customHeight="true" outlineLevel="0" collapsed="false">
      <c r="A107" s="3" t="s">
        <v>1259</v>
      </c>
      <c r="B107" s="3" t="s">
        <v>1260</v>
      </c>
      <c r="C107" s="3" t="n">
        <v>221035</v>
      </c>
      <c r="D107" s="3" t="s">
        <v>1277</v>
      </c>
      <c r="E107" s="18" t="n">
        <v>45050</v>
      </c>
      <c r="F107" s="3" t="s">
        <v>1262</v>
      </c>
      <c r="G107" s="3" t="s">
        <v>5</v>
      </c>
      <c r="H107" s="19"/>
      <c r="I107" s="19"/>
      <c r="J107" s="20"/>
      <c r="K107" s="20"/>
      <c r="L107" s="19"/>
      <c r="M107" s="19"/>
      <c r="N107" s="19"/>
      <c r="O107" s="20"/>
      <c r="P107" s="20"/>
    </row>
    <row r="108" customFormat="false" ht="14.25" hidden="false" customHeight="true" outlineLevel="0" collapsed="false">
      <c r="A108" s="3" t="s">
        <v>1259</v>
      </c>
      <c r="B108" s="3" t="s">
        <v>1260</v>
      </c>
      <c r="C108" s="3" t="n">
        <v>221035</v>
      </c>
      <c r="D108" s="3" t="s">
        <v>1278</v>
      </c>
      <c r="E108" s="18" t="n">
        <v>45064</v>
      </c>
      <c r="F108" s="3" t="s">
        <v>1262</v>
      </c>
      <c r="G108" s="3" t="s">
        <v>5</v>
      </c>
      <c r="H108" s="19"/>
      <c r="I108" s="19"/>
      <c r="J108" s="20"/>
      <c r="K108" s="20"/>
      <c r="L108" s="19"/>
      <c r="M108" s="19"/>
      <c r="N108" s="19"/>
      <c r="O108" s="20"/>
      <c r="P108" s="20"/>
    </row>
    <row r="109" customFormat="false" ht="14.25" hidden="false" customHeight="true" outlineLevel="0" collapsed="false">
      <c r="A109" s="3" t="s">
        <v>1259</v>
      </c>
      <c r="B109" s="3" t="s">
        <v>1260</v>
      </c>
      <c r="C109" s="3" t="n">
        <v>221035</v>
      </c>
      <c r="D109" s="3" t="s">
        <v>1279</v>
      </c>
      <c r="E109" s="18" t="n">
        <v>45078</v>
      </c>
      <c r="F109" s="3" t="s">
        <v>1262</v>
      </c>
      <c r="G109" s="3" t="s">
        <v>5</v>
      </c>
      <c r="H109" s="19"/>
      <c r="I109" s="19"/>
      <c r="J109" s="20"/>
      <c r="K109" s="20"/>
      <c r="L109" s="19"/>
      <c r="M109" s="19"/>
      <c r="N109" s="19"/>
      <c r="O109" s="20"/>
      <c r="P109" s="20"/>
    </row>
    <row r="110" customFormat="false" ht="14.25" hidden="false" customHeight="true" outlineLevel="0" collapsed="false">
      <c r="A110" s="3" t="s">
        <v>1259</v>
      </c>
      <c r="B110" s="3" t="s">
        <v>1260</v>
      </c>
      <c r="C110" s="3" t="n">
        <v>221035</v>
      </c>
      <c r="D110" s="3" t="s">
        <v>1281</v>
      </c>
      <c r="E110" s="18" t="n">
        <v>45092</v>
      </c>
      <c r="F110" s="3" t="s">
        <v>1262</v>
      </c>
      <c r="G110" s="3" t="s">
        <v>5</v>
      </c>
      <c r="H110" s="19"/>
      <c r="I110" s="19"/>
      <c r="J110" s="20"/>
      <c r="K110" s="20"/>
      <c r="L110" s="19"/>
      <c r="M110" s="19"/>
      <c r="N110" s="19"/>
      <c r="O110" s="20"/>
      <c r="P110" s="20"/>
    </row>
    <row r="111" customFormat="false" ht="14.25" hidden="false" customHeight="true" outlineLevel="0" collapsed="false">
      <c r="A111" s="3" t="s">
        <v>1259</v>
      </c>
      <c r="B111" s="3" t="s">
        <v>1260</v>
      </c>
      <c r="C111" s="3" t="n">
        <v>221035</v>
      </c>
      <c r="D111" s="3" t="s">
        <v>1317</v>
      </c>
      <c r="E111" s="18" t="n">
        <v>45092</v>
      </c>
      <c r="F111" s="3" t="s">
        <v>1262</v>
      </c>
      <c r="G111" s="3" t="s">
        <v>1275</v>
      </c>
      <c r="H111" s="19"/>
      <c r="I111" s="19"/>
      <c r="J111" s="20"/>
      <c r="K111" s="20"/>
      <c r="L111" s="19"/>
      <c r="M111" s="19"/>
      <c r="N111" s="19"/>
      <c r="O111" s="20"/>
      <c r="P111" s="20"/>
    </row>
    <row r="112" customFormat="false" ht="14.25" hidden="false" customHeight="true" outlineLevel="0" collapsed="false">
      <c r="A112" s="3" t="s">
        <v>1259</v>
      </c>
      <c r="B112" s="3" t="s">
        <v>1260</v>
      </c>
      <c r="C112" s="3" t="n">
        <v>221035</v>
      </c>
      <c r="D112" s="3" t="s">
        <v>1282</v>
      </c>
      <c r="E112" s="18" t="n">
        <v>45106</v>
      </c>
      <c r="F112" s="3" t="s">
        <v>1262</v>
      </c>
      <c r="G112" s="3" t="s">
        <v>5</v>
      </c>
      <c r="H112" s="19"/>
      <c r="I112" s="19"/>
      <c r="J112" s="20"/>
      <c r="K112" s="20"/>
      <c r="L112" s="19"/>
      <c r="M112" s="19"/>
      <c r="N112" s="19"/>
      <c r="O112" s="20"/>
      <c r="P112" s="20"/>
    </row>
    <row r="113" customFormat="false" ht="14.25" hidden="false" customHeight="true" outlineLevel="0" collapsed="false">
      <c r="A113" s="3" t="s">
        <v>1259</v>
      </c>
      <c r="B113" s="3" t="s">
        <v>1260</v>
      </c>
      <c r="C113" s="3" t="n">
        <v>221035</v>
      </c>
      <c r="D113" s="3" t="s">
        <v>1283</v>
      </c>
      <c r="E113" s="18" t="n">
        <v>45120</v>
      </c>
      <c r="F113" s="3" t="s">
        <v>1262</v>
      </c>
      <c r="G113" s="3" t="s">
        <v>5</v>
      </c>
      <c r="H113" s="19"/>
      <c r="I113" s="19"/>
      <c r="J113" s="20"/>
      <c r="K113" s="20"/>
      <c r="L113" s="19"/>
      <c r="M113" s="19"/>
      <c r="N113" s="19"/>
      <c r="O113" s="20"/>
      <c r="P113" s="20"/>
    </row>
    <row r="114" customFormat="false" ht="14.25" hidden="false" customHeight="true" outlineLevel="0" collapsed="false">
      <c r="A114" s="3" t="s">
        <v>1259</v>
      </c>
      <c r="B114" s="3" t="s">
        <v>1260</v>
      </c>
      <c r="C114" s="3" t="n">
        <v>221035</v>
      </c>
      <c r="D114" s="3" t="s">
        <v>1284</v>
      </c>
      <c r="E114" s="18" t="n">
        <v>45134</v>
      </c>
      <c r="F114" s="3" t="s">
        <v>1262</v>
      </c>
      <c r="G114" s="3" t="s">
        <v>5</v>
      </c>
      <c r="H114" s="19"/>
      <c r="I114" s="19"/>
      <c r="J114" s="20"/>
      <c r="K114" s="20"/>
      <c r="L114" s="19"/>
      <c r="M114" s="19"/>
      <c r="N114" s="19"/>
      <c r="O114" s="20"/>
      <c r="P114" s="20"/>
    </row>
    <row r="115" customFormat="false" ht="14.25" hidden="false" customHeight="true" outlineLevel="0" collapsed="false">
      <c r="A115" s="3" t="s">
        <v>1259</v>
      </c>
      <c r="B115" s="3" t="s">
        <v>1260</v>
      </c>
      <c r="C115" s="3" t="n">
        <v>221035</v>
      </c>
      <c r="D115" s="3" t="s">
        <v>1286</v>
      </c>
      <c r="E115" s="18" t="n">
        <v>45148</v>
      </c>
      <c r="F115" s="3" t="s">
        <v>1262</v>
      </c>
      <c r="G115" s="3" t="s">
        <v>5</v>
      </c>
      <c r="H115" s="19"/>
      <c r="I115" s="19"/>
      <c r="J115" s="20"/>
      <c r="K115" s="20"/>
      <c r="L115" s="19"/>
      <c r="M115" s="19"/>
      <c r="N115" s="19"/>
      <c r="O115" s="20"/>
      <c r="P115" s="20"/>
    </row>
    <row r="116" customFormat="false" ht="14.25" hidden="false" customHeight="true" outlineLevel="0" collapsed="false">
      <c r="A116" s="3" t="s">
        <v>1259</v>
      </c>
      <c r="B116" s="3" t="s">
        <v>1260</v>
      </c>
      <c r="C116" s="3" t="n">
        <v>221035</v>
      </c>
      <c r="D116" s="3" t="s">
        <v>1318</v>
      </c>
      <c r="E116" s="18" t="n">
        <v>45148</v>
      </c>
      <c r="F116" s="3" t="s">
        <v>1262</v>
      </c>
      <c r="G116" s="3" t="s">
        <v>1275</v>
      </c>
      <c r="H116" s="19"/>
      <c r="I116" s="19"/>
      <c r="J116" s="20"/>
      <c r="K116" s="20"/>
      <c r="L116" s="19"/>
      <c r="M116" s="19"/>
      <c r="N116" s="19"/>
      <c r="O116" s="20"/>
      <c r="P116" s="20"/>
    </row>
    <row r="117" customFormat="false" ht="14.25" hidden="false" customHeight="true" outlineLevel="0" collapsed="false">
      <c r="A117" s="3" t="s">
        <v>1259</v>
      </c>
      <c r="B117" s="3" t="s">
        <v>1260</v>
      </c>
      <c r="C117" s="3" t="n">
        <v>221035</v>
      </c>
      <c r="D117" s="3" t="s">
        <v>1287</v>
      </c>
      <c r="E117" s="18" t="n">
        <v>45162</v>
      </c>
      <c r="F117" s="3" t="s">
        <v>1262</v>
      </c>
      <c r="G117" s="3" t="s">
        <v>5</v>
      </c>
      <c r="H117" s="19"/>
      <c r="I117" s="19"/>
      <c r="J117" s="20"/>
      <c r="K117" s="20"/>
      <c r="L117" s="19"/>
      <c r="M117" s="19"/>
      <c r="N117" s="19"/>
      <c r="O117" s="20"/>
      <c r="P117" s="20"/>
    </row>
    <row r="118" customFormat="false" ht="14.25" hidden="false" customHeight="true" outlineLevel="0" collapsed="false">
      <c r="A118" s="3" t="s">
        <v>1259</v>
      </c>
      <c r="B118" s="3" t="s">
        <v>1260</v>
      </c>
      <c r="C118" s="3" t="n">
        <v>221035</v>
      </c>
      <c r="D118" s="3" t="s">
        <v>1288</v>
      </c>
      <c r="E118" s="18" t="n">
        <v>45176</v>
      </c>
      <c r="F118" s="3" t="s">
        <v>1262</v>
      </c>
      <c r="G118" s="3" t="s">
        <v>5</v>
      </c>
      <c r="H118" s="19"/>
      <c r="I118" s="19"/>
      <c r="J118" s="20"/>
      <c r="K118" s="20"/>
      <c r="L118" s="19"/>
      <c r="M118" s="19"/>
      <c r="N118" s="19"/>
      <c r="O118" s="20"/>
      <c r="P118" s="20"/>
    </row>
    <row r="119" customFormat="false" ht="14.25" hidden="false" customHeight="true" outlineLevel="0" collapsed="false">
      <c r="A119" s="3" t="s">
        <v>1259</v>
      </c>
      <c r="B119" s="3" t="s">
        <v>1260</v>
      </c>
      <c r="C119" s="3" t="n">
        <v>221035</v>
      </c>
      <c r="D119" s="3" t="s">
        <v>1289</v>
      </c>
      <c r="E119" s="18" t="n">
        <v>45190</v>
      </c>
      <c r="F119" s="3" t="s">
        <v>1262</v>
      </c>
      <c r="G119" s="3" t="s">
        <v>5</v>
      </c>
      <c r="H119" s="19"/>
      <c r="I119" s="19"/>
      <c r="J119" s="20"/>
      <c r="K119" s="20"/>
      <c r="L119" s="19"/>
      <c r="M119" s="19"/>
      <c r="N119" s="19"/>
      <c r="O119" s="20"/>
      <c r="P119" s="20"/>
    </row>
    <row r="120" customFormat="false" ht="14.25" hidden="false" customHeight="true" outlineLevel="0" collapsed="false">
      <c r="A120" s="3" t="s">
        <v>1259</v>
      </c>
      <c r="B120" s="3" t="s">
        <v>1260</v>
      </c>
      <c r="C120" s="3" t="n">
        <v>221035</v>
      </c>
      <c r="D120" s="3" t="s">
        <v>1290</v>
      </c>
      <c r="E120" s="18" t="n">
        <v>45204</v>
      </c>
      <c r="F120" s="3" t="s">
        <v>1262</v>
      </c>
      <c r="G120" s="3" t="s">
        <v>5</v>
      </c>
      <c r="H120" s="19"/>
      <c r="I120" s="19"/>
      <c r="J120" s="20"/>
      <c r="K120" s="20"/>
      <c r="L120" s="19"/>
      <c r="M120" s="19"/>
      <c r="N120" s="19"/>
      <c r="O120" s="20"/>
      <c r="P120" s="20"/>
    </row>
    <row r="121" customFormat="false" ht="14.25" hidden="false" customHeight="true" outlineLevel="0" collapsed="false">
      <c r="A121" s="3" t="s">
        <v>1259</v>
      </c>
      <c r="B121" s="3" t="s">
        <v>1260</v>
      </c>
      <c r="C121" s="3" t="n">
        <v>221035</v>
      </c>
      <c r="D121" s="3" t="s">
        <v>1319</v>
      </c>
      <c r="E121" s="18" t="n">
        <v>45204</v>
      </c>
      <c r="F121" s="3" t="s">
        <v>1262</v>
      </c>
      <c r="G121" s="3" t="s">
        <v>1275</v>
      </c>
      <c r="H121" s="19"/>
      <c r="I121" s="19"/>
      <c r="J121" s="20"/>
      <c r="K121" s="20"/>
      <c r="L121" s="19"/>
      <c r="M121" s="19"/>
      <c r="N121" s="19"/>
      <c r="O121" s="20"/>
      <c r="P121" s="20"/>
    </row>
    <row r="122" customFormat="false" ht="14.25" hidden="false" customHeight="true" outlineLevel="0" collapsed="false">
      <c r="A122" s="3" t="s">
        <v>1259</v>
      </c>
      <c r="B122" s="3" t="s">
        <v>1260</v>
      </c>
      <c r="C122" s="3" t="n">
        <v>221035</v>
      </c>
      <c r="D122" s="3" t="s">
        <v>1292</v>
      </c>
      <c r="E122" s="18" t="n">
        <v>45218</v>
      </c>
      <c r="F122" s="3" t="s">
        <v>1262</v>
      </c>
      <c r="G122" s="3" t="s">
        <v>5</v>
      </c>
      <c r="H122" s="19"/>
      <c r="I122" s="19"/>
      <c r="J122" s="20"/>
      <c r="K122" s="20"/>
      <c r="L122" s="19"/>
      <c r="M122" s="19"/>
      <c r="N122" s="19"/>
      <c r="O122" s="20"/>
      <c r="P122" s="20"/>
    </row>
    <row r="123" customFormat="false" ht="14.25" hidden="false" customHeight="true" outlineLevel="0" collapsed="false">
      <c r="A123" s="3" t="s">
        <v>1259</v>
      </c>
      <c r="B123" s="3" t="s">
        <v>1260</v>
      </c>
      <c r="C123" s="3" t="n">
        <v>221035</v>
      </c>
      <c r="D123" s="3" t="s">
        <v>1293</v>
      </c>
      <c r="E123" s="18" t="n">
        <v>45232</v>
      </c>
      <c r="F123" s="3" t="s">
        <v>1262</v>
      </c>
      <c r="G123" s="3" t="s">
        <v>5</v>
      </c>
      <c r="H123" s="19"/>
      <c r="I123" s="19"/>
      <c r="J123" s="20"/>
      <c r="K123" s="20"/>
      <c r="L123" s="19"/>
      <c r="M123" s="19"/>
      <c r="N123" s="19"/>
      <c r="O123" s="20"/>
      <c r="P123" s="20"/>
    </row>
    <row r="124" customFormat="false" ht="14.25" hidden="false" customHeight="true" outlineLevel="0" collapsed="false">
      <c r="A124" s="3" t="s">
        <v>1259</v>
      </c>
      <c r="B124" s="3" t="s">
        <v>1260</v>
      </c>
      <c r="C124" s="3" t="n">
        <v>221035</v>
      </c>
      <c r="D124" s="3" t="s">
        <v>1294</v>
      </c>
      <c r="E124" s="18" t="n">
        <v>45246</v>
      </c>
      <c r="F124" s="3" t="s">
        <v>1262</v>
      </c>
      <c r="G124" s="3" t="s">
        <v>5</v>
      </c>
      <c r="H124" s="19"/>
      <c r="I124" s="19"/>
      <c r="J124" s="20"/>
      <c r="K124" s="20"/>
      <c r="L124" s="19"/>
      <c r="M124" s="19"/>
      <c r="N124" s="19"/>
      <c r="O124" s="20"/>
      <c r="P124" s="20"/>
    </row>
    <row r="125" customFormat="false" ht="14.25" hidden="false" customHeight="true" outlineLevel="0" collapsed="false">
      <c r="A125" s="3" t="s">
        <v>1259</v>
      </c>
      <c r="B125" s="3" t="s">
        <v>1260</v>
      </c>
      <c r="C125" s="3" t="n">
        <v>221035</v>
      </c>
      <c r="D125" s="3" t="s">
        <v>1295</v>
      </c>
      <c r="E125" s="18" t="n">
        <v>45260</v>
      </c>
      <c r="F125" s="3" t="s">
        <v>1262</v>
      </c>
      <c r="G125" s="3" t="s">
        <v>5</v>
      </c>
      <c r="H125" s="19"/>
      <c r="I125" s="19"/>
      <c r="J125" s="20"/>
      <c r="K125" s="20"/>
      <c r="L125" s="19"/>
      <c r="M125" s="19"/>
      <c r="N125" s="19"/>
      <c r="O125" s="20"/>
      <c r="P125" s="20"/>
    </row>
    <row r="126" customFormat="false" ht="14.25" hidden="false" customHeight="true" outlineLevel="0" collapsed="false">
      <c r="A126" s="3" t="s">
        <v>1259</v>
      </c>
      <c r="B126" s="3" t="s">
        <v>1260</v>
      </c>
      <c r="C126" s="3" t="n">
        <v>221035</v>
      </c>
      <c r="D126" s="3" t="s">
        <v>1320</v>
      </c>
      <c r="E126" s="18" t="n">
        <v>45260</v>
      </c>
      <c r="F126" s="3" t="s">
        <v>1262</v>
      </c>
      <c r="G126" s="3" t="s">
        <v>1275</v>
      </c>
      <c r="H126" s="19"/>
      <c r="I126" s="19"/>
      <c r="J126" s="20"/>
      <c r="K126" s="20"/>
      <c r="L126" s="19"/>
      <c r="M126" s="19"/>
      <c r="N126" s="19"/>
      <c r="O126" s="20"/>
      <c r="P126" s="20"/>
    </row>
    <row r="127" customFormat="false" ht="14.25" hidden="false" customHeight="true" outlineLevel="0" collapsed="false">
      <c r="A127" s="3" t="s">
        <v>1259</v>
      </c>
      <c r="B127" s="3" t="s">
        <v>1260</v>
      </c>
      <c r="C127" s="3" t="n">
        <v>221035</v>
      </c>
      <c r="D127" s="3" t="s">
        <v>1297</v>
      </c>
      <c r="E127" s="18" t="n">
        <v>45274</v>
      </c>
      <c r="F127" s="3" t="s">
        <v>1262</v>
      </c>
      <c r="G127" s="3" t="s">
        <v>5</v>
      </c>
      <c r="H127" s="19"/>
      <c r="I127" s="19"/>
      <c r="J127" s="20"/>
      <c r="K127" s="20"/>
      <c r="L127" s="19"/>
      <c r="M127" s="19"/>
      <c r="N127" s="19"/>
      <c r="O127" s="20"/>
      <c r="P127" s="20"/>
    </row>
    <row r="128" customFormat="false" ht="14.25" hidden="false" customHeight="true" outlineLevel="0" collapsed="false">
      <c r="A128" s="3" t="s">
        <v>1259</v>
      </c>
      <c r="B128" s="3" t="s">
        <v>1260</v>
      </c>
      <c r="C128" s="3" t="n">
        <v>221035</v>
      </c>
      <c r="D128" s="3" t="s">
        <v>1298</v>
      </c>
      <c r="E128" s="18" t="n">
        <v>45288</v>
      </c>
      <c r="F128" s="3" t="s">
        <v>1262</v>
      </c>
      <c r="G128" s="3" t="s">
        <v>5</v>
      </c>
      <c r="H128" s="19"/>
      <c r="I128" s="19"/>
      <c r="J128" s="20"/>
      <c r="K128" s="20"/>
      <c r="L128" s="19"/>
      <c r="M128" s="19"/>
      <c r="N128" s="19"/>
      <c r="O128" s="20"/>
      <c r="P128" s="20"/>
    </row>
    <row r="129" customFormat="false" ht="14.25" hidden="false" customHeight="true" outlineLevel="0" collapsed="false">
      <c r="A129" s="3" t="s">
        <v>1259</v>
      </c>
      <c r="B129" s="3" t="s">
        <v>1260</v>
      </c>
      <c r="C129" s="3" t="n">
        <v>221035</v>
      </c>
      <c r="D129" s="3" t="s">
        <v>1299</v>
      </c>
      <c r="E129" s="18" t="n">
        <v>45302</v>
      </c>
      <c r="F129" s="3" t="s">
        <v>1262</v>
      </c>
      <c r="G129" s="3" t="s">
        <v>5</v>
      </c>
      <c r="H129" s="19"/>
      <c r="I129" s="19"/>
      <c r="J129" s="20"/>
      <c r="K129" s="20"/>
      <c r="L129" s="19"/>
      <c r="M129" s="19"/>
      <c r="N129" s="19"/>
      <c r="O129" s="20"/>
      <c r="P129" s="20"/>
    </row>
    <row r="130" customFormat="false" ht="14.25" hidden="false" customHeight="true" outlineLevel="0" collapsed="false">
      <c r="A130" s="3" t="s">
        <v>1259</v>
      </c>
      <c r="B130" s="3" t="s">
        <v>1260</v>
      </c>
      <c r="C130" s="3" t="n">
        <v>221035</v>
      </c>
      <c r="D130" s="3" t="s">
        <v>1300</v>
      </c>
      <c r="E130" s="18" t="n">
        <v>45316</v>
      </c>
      <c r="F130" s="3" t="s">
        <v>1262</v>
      </c>
      <c r="G130" s="3" t="s">
        <v>5</v>
      </c>
      <c r="H130" s="19"/>
      <c r="I130" s="19"/>
      <c r="J130" s="20"/>
      <c r="K130" s="20"/>
      <c r="L130" s="19"/>
      <c r="M130" s="19"/>
      <c r="N130" s="19"/>
      <c r="O130" s="20"/>
      <c r="P130" s="20"/>
    </row>
    <row r="131" customFormat="false" ht="14.25" hidden="false" customHeight="true" outlineLevel="0" collapsed="false">
      <c r="A131" s="3" t="s">
        <v>1259</v>
      </c>
      <c r="B131" s="3" t="s">
        <v>1260</v>
      </c>
      <c r="C131" s="3" t="n">
        <v>221035</v>
      </c>
      <c r="D131" s="3" t="s">
        <v>1321</v>
      </c>
      <c r="E131" s="18" t="n">
        <v>45316</v>
      </c>
      <c r="F131" s="3" t="s">
        <v>1262</v>
      </c>
      <c r="G131" s="3" t="s">
        <v>1275</v>
      </c>
      <c r="H131" s="19"/>
      <c r="I131" s="19"/>
      <c r="J131" s="20"/>
      <c r="K131" s="20"/>
      <c r="L131" s="19"/>
      <c r="M131" s="19"/>
      <c r="N131" s="19"/>
      <c r="O131" s="20"/>
      <c r="P131" s="20"/>
    </row>
    <row r="132" customFormat="false" ht="14.25" hidden="false" customHeight="true" outlineLevel="0" collapsed="false">
      <c r="A132" s="3" t="s">
        <v>1259</v>
      </c>
      <c r="B132" s="3" t="s">
        <v>1260</v>
      </c>
      <c r="C132" s="3" t="n">
        <v>221035</v>
      </c>
      <c r="D132" s="3" t="s">
        <v>1302</v>
      </c>
      <c r="E132" s="18" t="n">
        <v>45330</v>
      </c>
      <c r="F132" s="3" t="s">
        <v>1262</v>
      </c>
      <c r="G132" s="3" t="s">
        <v>5</v>
      </c>
      <c r="H132" s="19"/>
      <c r="I132" s="19"/>
      <c r="J132" s="20"/>
      <c r="K132" s="20"/>
      <c r="L132" s="19"/>
      <c r="M132" s="19"/>
      <c r="N132" s="19"/>
      <c r="O132" s="20"/>
      <c r="P132" s="20"/>
    </row>
    <row r="133" customFormat="false" ht="14.25" hidden="false" customHeight="true" outlineLevel="0" collapsed="false">
      <c r="A133" s="3" t="s">
        <v>1259</v>
      </c>
      <c r="B133" s="3" t="s">
        <v>1260</v>
      </c>
      <c r="C133" s="3" t="n">
        <v>221035</v>
      </c>
      <c r="D133" s="3" t="s">
        <v>1303</v>
      </c>
      <c r="E133" s="18" t="n">
        <v>45344</v>
      </c>
      <c r="F133" s="3" t="s">
        <v>1262</v>
      </c>
      <c r="G133" s="3" t="s">
        <v>5</v>
      </c>
      <c r="H133" s="19"/>
      <c r="I133" s="19"/>
      <c r="J133" s="20"/>
      <c r="K133" s="20"/>
      <c r="L133" s="19"/>
      <c r="M133" s="19"/>
      <c r="N133" s="19"/>
      <c r="O133" s="20"/>
      <c r="P133" s="20"/>
    </row>
    <row r="134" customFormat="false" ht="14.25" hidden="false" customHeight="true" outlineLevel="0" collapsed="false">
      <c r="A134" s="3" t="s">
        <v>1259</v>
      </c>
      <c r="B134" s="3" t="s">
        <v>1260</v>
      </c>
      <c r="C134" s="3" t="n">
        <v>221035</v>
      </c>
      <c r="D134" s="3" t="s">
        <v>1304</v>
      </c>
      <c r="E134" s="18" t="n">
        <v>45358</v>
      </c>
      <c r="F134" s="3" t="s">
        <v>1262</v>
      </c>
      <c r="G134" s="3" t="s">
        <v>5</v>
      </c>
      <c r="H134" s="19"/>
      <c r="I134" s="19"/>
      <c r="J134" s="20"/>
      <c r="K134" s="20"/>
      <c r="L134" s="19"/>
      <c r="M134" s="19"/>
      <c r="N134" s="19"/>
      <c r="O134" s="20"/>
      <c r="P134" s="20"/>
    </row>
    <row r="135" customFormat="false" ht="14.25" hidden="false" customHeight="true" outlineLevel="0" collapsed="false">
      <c r="A135" s="3" t="s">
        <v>1259</v>
      </c>
      <c r="B135" s="3" t="s">
        <v>1260</v>
      </c>
      <c r="C135" s="3" t="n">
        <v>221035</v>
      </c>
      <c r="D135" s="3" t="s">
        <v>1305</v>
      </c>
      <c r="E135" s="18" t="n">
        <v>45372</v>
      </c>
      <c r="F135" s="3" t="s">
        <v>1262</v>
      </c>
      <c r="G135" s="3" t="s">
        <v>5</v>
      </c>
      <c r="H135" s="19"/>
      <c r="I135" s="19"/>
      <c r="J135" s="20"/>
      <c r="K135" s="20"/>
      <c r="L135" s="19"/>
      <c r="M135" s="19"/>
      <c r="N135" s="19"/>
      <c r="O135" s="20"/>
      <c r="P135" s="20"/>
    </row>
    <row r="136" customFormat="false" ht="14.25" hidden="false" customHeight="true" outlineLevel="0" collapsed="false">
      <c r="A136" s="3" t="s">
        <v>1259</v>
      </c>
      <c r="B136" s="3" t="s">
        <v>1260</v>
      </c>
      <c r="C136" s="3" t="n">
        <v>221035</v>
      </c>
      <c r="D136" s="3" t="s">
        <v>1322</v>
      </c>
      <c r="E136" s="18" t="n">
        <v>45372</v>
      </c>
      <c r="F136" s="3" t="s">
        <v>1262</v>
      </c>
      <c r="G136" s="3" t="s">
        <v>1275</v>
      </c>
      <c r="H136" s="19"/>
      <c r="I136" s="19"/>
      <c r="J136" s="20"/>
      <c r="K136" s="20"/>
      <c r="L136" s="19"/>
      <c r="M136" s="19"/>
      <c r="N136" s="19"/>
      <c r="O136" s="20"/>
      <c r="P136" s="20"/>
    </row>
    <row r="137" customFormat="false" ht="14.25" hidden="false" customHeight="true" outlineLevel="0" collapsed="false">
      <c r="A137" s="3" t="s">
        <v>1259</v>
      </c>
      <c r="B137" s="3" t="s">
        <v>1260</v>
      </c>
      <c r="C137" s="3" t="n">
        <v>221035</v>
      </c>
      <c r="D137" s="3" t="s">
        <v>1307</v>
      </c>
      <c r="E137" s="18" t="n">
        <v>45386</v>
      </c>
      <c r="F137" s="3" t="s">
        <v>1262</v>
      </c>
      <c r="G137" s="3" t="s">
        <v>5</v>
      </c>
      <c r="H137" s="19"/>
      <c r="I137" s="19"/>
      <c r="J137" s="20"/>
      <c r="K137" s="20"/>
      <c r="L137" s="19"/>
      <c r="M137" s="19"/>
      <c r="N137" s="19"/>
      <c r="O137" s="20"/>
      <c r="P137" s="20"/>
    </row>
    <row r="138" customFormat="false" ht="14.25" hidden="false" customHeight="true" outlineLevel="0" collapsed="false">
      <c r="A138" s="3" t="s">
        <v>1259</v>
      </c>
      <c r="B138" s="3" t="s">
        <v>1260</v>
      </c>
      <c r="C138" s="3" t="n">
        <v>221035</v>
      </c>
      <c r="D138" s="3" t="s">
        <v>1308</v>
      </c>
      <c r="E138" s="18" t="n">
        <v>45400</v>
      </c>
      <c r="F138" s="3" t="s">
        <v>1262</v>
      </c>
      <c r="G138" s="3" t="s">
        <v>5</v>
      </c>
      <c r="H138" s="19"/>
      <c r="I138" s="19"/>
      <c r="J138" s="20"/>
      <c r="K138" s="20"/>
      <c r="L138" s="19"/>
      <c r="M138" s="19"/>
      <c r="N138" s="19"/>
      <c r="O138" s="20"/>
      <c r="P138" s="20"/>
    </row>
    <row r="139" customFormat="false" ht="14.25" hidden="false" customHeight="true" outlineLevel="0" collapsed="false">
      <c r="A139" s="3" t="s">
        <v>1259</v>
      </c>
      <c r="B139" s="3" t="s">
        <v>1260</v>
      </c>
      <c r="C139" s="3" t="n">
        <v>221035</v>
      </c>
      <c r="D139" s="3" t="s">
        <v>1309</v>
      </c>
      <c r="E139" s="18" t="n">
        <v>45411</v>
      </c>
      <c r="F139" s="3" t="s">
        <v>1262</v>
      </c>
      <c r="G139" s="3" t="s">
        <v>5</v>
      </c>
      <c r="H139" s="19"/>
      <c r="I139" s="19"/>
      <c r="J139" s="20"/>
      <c r="K139" s="20"/>
      <c r="L139" s="19"/>
      <c r="M139" s="19"/>
      <c r="N139" s="19"/>
      <c r="O139" s="20"/>
      <c r="P139" s="20"/>
    </row>
    <row r="140" customFormat="false" ht="14.25" hidden="false" customHeight="true" outlineLevel="0" collapsed="false">
      <c r="A140" s="3" t="s">
        <v>1259</v>
      </c>
      <c r="B140" s="3" t="s">
        <v>1260</v>
      </c>
      <c r="C140" s="3" t="n">
        <v>221035</v>
      </c>
      <c r="D140" s="3" t="s">
        <v>1310</v>
      </c>
      <c r="E140" s="18" t="n">
        <v>45428</v>
      </c>
      <c r="F140" s="3" t="s">
        <v>1262</v>
      </c>
      <c r="G140" s="3" t="s">
        <v>5</v>
      </c>
      <c r="H140" s="19"/>
      <c r="I140" s="19"/>
      <c r="J140" s="20"/>
      <c r="K140" s="20"/>
      <c r="L140" s="19"/>
      <c r="M140" s="19"/>
      <c r="N140" s="19"/>
      <c r="O140" s="20"/>
      <c r="P140" s="20"/>
    </row>
    <row r="141" customFormat="false" ht="14.25" hidden="false" customHeight="true" outlineLevel="0" collapsed="false">
      <c r="A141" s="3" t="s">
        <v>1259</v>
      </c>
      <c r="B141" s="3" t="s">
        <v>1260</v>
      </c>
      <c r="C141" s="3" t="n">
        <v>221035</v>
      </c>
      <c r="D141" s="3" t="s">
        <v>1323</v>
      </c>
      <c r="E141" s="18" t="n">
        <v>45428</v>
      </c>
      <c r="F141" s="3" t="s">
        <v>1262</v>
      </c>
      <c r="G141" s="3" t="s">
        <v>1275</v>
      </c>
      <c r="H141" s="19"/>
      <c r="I141" s="19"/>
      <c r="J141" s="20"/>
      <c r="K141" s="20"/>
      <c r="L141" s="19"/>
      <c r="M141" s="19"/>
      <c r="N141" s="19"/>
      <c r="O141" s="20"/>
      <c r="P141" s="20"/>
    </row>
    <row r="142" customFormat="false" ht="14.25" hidden="false" customHeight="true" outlineLevel="0" collapsed="false">
      <c r="A142" s="3" t="s">
        <v>1259</v>
      </c>
      <c r="B142" s="3" t="s">
        <v>1260</v>
      </c>
      <c r="C142" s="3" t="n">
        <v>221036</v>
      </c>
      <c r="D142" s="3" t="s">
        <v>1261</v>
      </c>
      <c r="E142" s="18" t="n">
        <v>44971</v>
      </c>
      <c r="F142" s="3" t="s">
        <v>1262</v>
      </c>
      <c r="G142" s="3" t="s">
        <v>5</v>
      </c>
      <c r="H142" s="19" t="n">
        <v>44971</v>
      </c>
      <c r="I142" s="19" t="n">
        <v>44796</v>
      </c>
      <c r="J142" s="20" t="n">
        <v>59</v>
      </c>
      <c r="K142" s="20" t="s">
        <v>1263</v>
      </c>
      <c r="L142" s="19" t="s">
        <v>12</v>
      </c>
      <c r="M142" s="19"/>
      <c r="N142" s="19"/>
      <c r="O142" s="20"/>
      <c r="P142" s="20"/>
    </row>
    <row r="143" customFormat="false" ht="14.25" hidden="false" customHeight="true" outlineLevel="0" collapsed="false">
      <c r="A143" s="3" t="s">
        <v>1259</v>
      </c>
      <c r="B143" s="3" t="s">
        <v>1260</v>
      </c>
      <c r="C143" s="3" t="n">
        <v>221036</v>
      </c>
      <c r="D143" s="3" t="s">
        <v>1264</v>
      </c>
      <c r="E143" s="18" t="n">
        <v>44985</v>
      </c>
      <c r="F143" s="3" t="s">
        <v>1262</v>
      </c>
      <c r="G143" s="3" t="s">
        <v>5</v>
      </c>
      <c r="H143" s="19"/>
      <c r="I143" s="19"/>
      <c r="J143" s="20"/>
      <c r="K143" s="20"/>
      <c r="L143" s="19"/>
      <c r="M143" s="19"/>
      <c r="N143" s="19"/>
      <c r="O143" s="20"/>
      <c r="P143" s="20"/>
    </row>
    <row r="144" customFormat="false" ht="14.25" hidden="false" customHeight="true" outlineLevel="0" collapsed="false">
      <c r="A144" s="3" t="s">
        <v>1259</v>
      </c>
      <c r="B144" s="3" t="s">
        <v>1260</v>
      </c>
      <c r="C144" s="3" t="n">
        <v>221036</v>
      </c>
      <c r="D144" s="3" t="s">
        <v>1265</v>
      </c>
      <c r="E144" s="18" t="n">
        <v>44987</v>
      </c>
      <c r="F144" s="3" t="s">
        <v>1262</v>
      </c>
      <c r="G144" s="3" t="s">
        <v>5</v>
      </c>
      <c r="H144" s="19"/>
      <c r="I144" s="19"/>
      <c r="J144" s="20"/>
      <c r="K144" s="20"/>
      <c r="L144" s="19"/>
      <c r="M144" s="19"/>
      <c r="N144" s="19"/>
      <c r="O144" s="20"/>
      <c r="P144" s="20"/>
    </row>
    <row r="145" customFormat="false" ht="14.25" hidden="false" customHeight="true" outlineLevel="0" collapsed="false">
      <c r="A145" s="3" t="s">
        <v>1259</v>
      </c>
      <c r="B145" s="3" t="s">
        <v>1260</v>
      </c>
      <c r="C145" s="3" t="n">
        <v>221036</v>
      </c>
      <c r="D145" s="3" t="s">
        <v>1266</v>
      </c>
      <c r="E145" s="18" t="n">
        <v>44992</v>
      </c>
      <c r="F145" s="3" t="s">
        <v>1262</v>
      </c>
      <c r="G145" s="3" t="s">
        <v>5</v>
      </c>
      <c r="H145" s="19"/>
      <c r="I145" s="19"/>
      <c r="J145" s="20"/>
      <c r="K145" s="20"/>
      <c r="L145" s="19"/>
      <c r="M145" s="19"/>
      <c r="N145" s="19"/>
      <c r="O145" s="20"/>
      <c r="P145" s="20"/>
    </row>
    <row r="146" customFormat="false" ht="14.25" hidden="false" customHeight="true" outlineLevel="0" collapsed="false">
      <c r="A146" s="3" t="s">
        <v>1259</v>
      </c>
      <c r="B146" s="3" t="s">
        <v>1260</v>
      </c>
      <c r="C146" s="3" t="n">
        <v>221036</v>
      </c>
      <c r="D146" s="3" t="s">
        <v>1269</v>
      </c>
      <c r="E146" s="18" t="n">
        <v>44999</v>
      </c>
      <c r="F146" s="3" t="s">
        <v>1262</v>
      </c>
      <c r="G146" s="3" t="s">
        <v>5</v>
      </c>
      <c r="H146" s="19"/>
      <c r="I146" s="19"/>
      <c r="J146" s="20"/>
      <c r="K146" s="20"/>
      <c r="L146" s="19"/>
      <c r="M146" s="19"/>
      <c r="N146" s="19"/>
      <c r="O146" s="20"/>
      <c r="P146" s="20"/>
    </row>
    <row r="147" customFormat="false" ht="14.25" hidden="false" customHeight="true" outlineLevel="0" collapsed="false">
      <c r="A147" s="3" t="s">
        <v>1259</v>
      </c>
      <c r="B147" s="3" t="s">
        <v>1260</v>
      </c>
      <c r="C147" s="3" t="n">
        <v>221036</v>
      </c>
      <c r="D147" s="3" t="s">
        <v>1270</v>
      </c>
      <c r="E147" s="18" t="n">
        <v>45006</v>
      </c>
      <c r="F147" s="3" t="s">
        <v>1262</v>
      </c>
      <c r="G147" s="3" t="s">
        <v>5</v>
      </c>
      <c r="H147" s="19"/>
      <c r="I147" s="19"/>
      <c r="J147" s="20"/>
      <c r="K147" s="20"/>
      <c r="L147" s="19"/>
      <c r="M147" s="19"/>
      <c r="N147" s="19"/>
      <c r="O147" s="20"/>
      <c r="P147" s="20"/>
    </row>
    <row r="148" customFormat="false" ht="14.25" hidden="false" customHeight="true" outlineLevel="0" collapsed="false">
      <c r="A148" s="3" t="s">
        <v>1259</v>
      </c>
      <c r="B148" s="3" t="s">
        <v>1260</v>
      </c>
      <c r="C148" s="3" t="n">
        <v>221036</v>
      </c>
      <c r="D148" s="3" t="s">
        <v>1271</v>
      </c>
      <c r="E148" s="18" t="n">
        <v>45013</v>
      </c>
      <c r="F148" s="3" t="s">
        <v>1262</v>
      </c>
      <c r="G148" s="3" t="s">
        <v>5</v>
      </c>
      <c r="H148" s="19"/>
      <c r="I148" s="19"/>
      <c r="J148" s="20"/>
      <c r="K148" s="20"/>
      <c r="L148" s="19"/>
      <c r="M148" s="19"/>
      <c r="N148" s="19"/>
      <c r="O148" s="20"/>
      <c r="P148" s="20"/>
    </row>
    <row r="149" customFormat="false" ht="14.25" hidden="false" customHeight="true" outlineLevel="0" collapsed="false">
      <c r="A149" s="3" t="s">
        <v>1259</v>
      </c>
      <c r="B149" s="3" t="s">
        <v>1260</v>
      </c>
      <c r="C149" s="3" t="n">
        <v>221036</v>
      </c>
      <c r="D149" s="3" t="s">
        <v>1272</v>
      </c>
      <c r="E149" s="18" t="n">
        <v>45015</v>
      </c>
      <c r="F149" s="3" t="s">
        <v>1262</v>
      </c>
      <c r="G149" s="3" t="s">
        <v>5</v>
      </c>
      <c r="H149" s="19"/>
      <c r="I149" s="19"/>
      <c r="J149" s="20"/>
      <c r="K149" s="20"/>
      <c r="L149" s="19"/>
      <c r="M149" s="19"/>
      <c r="N149" s="19"/>
      <c r="O149" s="20"/>
      <c r="P149" s="20"/>
    </row>
    <row r="150" customFormat="false" ht="14.25" hidden="false" customHeight="true" outlineLevel="0" collapsed="false">
      <c r="A150" s="3" t="s">
        <v>1259</v>
      </c>
      <c r="B150" s="3" t="s">
        <v>1260</v>
      </c>
      <c r="C150" s="3" t="n">
        <v>221036</v>
      </c>
      <c r="D150" s="3" t="s">
        <v>1273</v>
      </c>
      <c r="E150" s="18" t="n">
        <v>45027</v>
      </c>
      <c r="F150" s="3" t="s">
        <v>1262</v>
      </c>
      <c r="G150" s="3" t="s">
        <v>5</v>
      </c>
      <c r="H150" s="19"/>
      <c r="I150" s="19"/>
      <c r="J150" s="20"/>
      <c r="K150" s="20"/>
      <c r="L150" s="19"/>
      <c r="M150" s="19"/>
      <c r="N150" s="19"/>
      <c r="O150" s="20"/>
      <c r="P150" s="20"/>
    </row>
    <row r="151" customFormat="false" ht="14.25" hidden="false" customHeight="true" outlineLevel="0" collapsed="false">
      <c r="A151" s="3" t="s">
        <v>1259</v>
      </c>
      <c r="B151" s="3" t="s">
        <v>1260</v>
      </c>
      <c r="C151" s="3" t="n">
        <v>221036</v>
      </c>
      <c r="D151" s="3" t="s">
        <v>1276</v>
      </c>
      <c r="E151" s="18" t="n">
        <v>45041</v>
      </c>
      <c r="F151" s="3" t="s">
        <v>1262</v>
      </c>
      <c r="G151" s="3" t="s">
        <v>5</v>
      </c>
      <c r="H151" s="19"/>
      <c r="I151" s="19"/>
      <c r="J151" s="20"/>
      <c r="K151" s="20"/>
      <c r="L151" s="19"/>
      <c r="M151" s="19"/>
      <c r="N151" s="19"/>
      <c r="O151" s="20"/>
      <c r="P151" s="20"/>
    </row>
    <row r="152" customFormat="false" ht="14.25" hidden="false" customHeight="true" outlineLevel="0" collapsed="false">
      <c r="A152" s="3" t="s">
        <v>1259</v>
      </c>
      <c r="B152" s="3" t="s">
        <v>1260</v>
      </c>
      <c r="C152" s="3" t="n">
        <v>221036</v>
      </c>
      <c r="D152" s="3" t="s">
        <v>1324</v>
      </c>
      <c r="E152" s="18" t="n">
        <v>45041</v>
      </c>
      <c r="F152" s="3" t="s">
        <v>1262</v>
      </c>
      <c r="G152" s="3" t="s">
        <v>1275</v>
      </c>
      <c r="H152" s="19"/>
      <c r="I152" s="19"/>
      <c r="J152" s="20"/>
      <c r="K152" s="20"/>
      <c r="L152" s="19"/>
      <c r="M152" s="19"/>
      <c r="N152" s="19"/>
      <c r="O152" s="20"/>
      <c r="P152" s="20"/>
    </row>
    <row r="153" customFormat="false" ht="14.25" hidden="false" customHeight="true" outlineLevel="0" collapsed="false">
      <c r="A153" s="3" t="s">
        <v>1259</v>
      </c>
      <c r="B153" s="3" t="s">
        <v>1260</v>
      </c>
      <c r="C153" s="3" t="n">
        <v>221036</v>
      </c>
      <c r="D153" s="3" t="s">
        <v>1277</v>
      </c>
      <c r="E153" s="18" t="n">
        <v>45057</v>
      </c>
      <c r="F153" s="3" t="s">
        <v>1262</v>
      </c>
      <c r="G153" s="3" t="s">
        <v>5</v>
      </c>
      <c r="H153" s="19"/>
      <c r="I153" s="19"/>
      <c r="J153" s="20"/>
      <c r="K153" s="20"/>
      <c r="L153" s="19"/>
      <c r="M153" s="19"/>
      <c r="N153" s="19"/>
      <c r="O153" s="20"/>
      <c r="P153" s="20"/>
    </row>
    <row r="154" customFormat="false" ht="14.25" hidden="false" customHeight="true" outlineLevel="0" collapsed="false">
      <c r="A154" s="3" t="s">
        <v>1259</v>
      </c>
      <c r="B154" s="3" t="s">
        <v>1260</v>
      </c>
      <c r="C154" s="3" t="n">
        <v>221036</v>
      </c>
      <c r="D154" s="3" t="s">
        <v>1278</v>
      </c>
      <c r="E154" s="18" t="n">
        <v>45069</v>
      </c>
      <c r="F154" s="3" t="s">
        <v>1262</v>
      </c>
      <c r="G154" s="3" t="s">
        <v>5</v>
      </c>
      <c r="H154" s="19"/>
      <c r="I154" s="19"/>
      <c r="J154" s="20"/>
      <c r="K154" s="20"/>
      <c r="L154" s="19"/>
      <c r="M154" s="19"/>
      <c r="N154" s="19"/>
      <c r="O154" s="20"/>
      <c r="P154" s="20"/>
    </row>
    <row r="155" customFormat="false" ht="14.25" hidden="false" customHeight="true" outlineLevel="0" collapsed="false">
      <c r="A155" s="3" t="s">
        <v>1259</v>
      </c>
      <c r="B155" s="3" t="s">
        <v>1260</v>
      </c>
      <c r="C155" s="3" t="n">
        <v>221036</v>
      </c>
      <c r="D155" s="3" t="s">
        <v>1279</v>
      </c>
      <c r="E155" s="18" t="n">
        <v>45085</v>
      </c>
      <c r="F155" s="3" t="s">
        <v>1262</v>
      </c>
      <c r="G155" s="3" t="s">
        <v>5</v>
      </c>
      <c r="H155" s="19"/>
      <c r="I155" s="19"/>
      <c r="J155" s="20"/>
      <c r="K155" s="20"/>
      <c r="L155" s="19"/>
      <c r="M155" s="19"/>
      <c r="N155" s="19"/>
      <c r="O155" s="20"/>
      <c r="P155" s="20"/>
    </row>
    <row r="156" customFormat="false" ht="14.25" hidden="false" customHeight="true" outlineLevel="0" collapsed="false">
      <c r="A156" s="3" t="s">
        <v>1259</v>
      </c>
      <c r="B156" s="3" t="s">
        <v>1260</v>
      </c>
      <c r="C156" s="3" t="n">
        <v>221036</v>
      </c>
      <c r="D156" s="3" t="s">
        <v>1281</v>
      </c>
      <c r="E156" s="18" t="n">
        <v>45097</v>
      </c>
      <c r="F156" s="3" t="s">
        <v>1262</v>
      </c>
      <c r="G156" s="3" t="s">
        <v>5</v>
      </c>
      <c r="H156" s="19"/>
      <c r="I156" s="19"/>
      <c r="J156" s="20"/>
      <c r="K156" s="20"/>
      <c r="L156" s="19"/>
      <c r="M156" s="19"/>
      <c r="N156" s="19"/>
      <c r="O156" s="20"/>
      <c r="P156" s="20"/>
    </row>
    <row r="157" customFormat="false" ht="14.25" hidden="false" customHeight="true" outlineLevel="0" collapsed="false">
      <c r="A157" s="3" t="s">
        <v>1259</v>
      </c>
      <c r="B157" s="3" t="s">
        <v>1260</v>
      </c>
      <c r="C157" s="3" t="n">
        <v>221036</v>
      </c>
      <c r="D157" s="3" t="s">
        <v>1325</v>
      </c>
      <c r="E157" s="18" t="n">
        <v>45097</v>
      </c>
      <c r="F157" s="3" t="s">
        <v>1262</v>
      </c>
      <c r="G157" s="3" t="s">
        <v>1275</v>
      </c>
      <c r="H157" s="19"/>
      <c r="I157" s="19"/>
      <c r="J157" s="20"/>
      <c r="K157" s="20"/>
      <c r="L157" s="19"/>
      <c r="M157" s="19"/>
      <c r="N157" s="19"/>
      <c r="O157" s="20"/>
      <c r="P157" s="20"/>
    </row>
    <row r="158" customFormat="false" ht="14.25" hidden="false" customHeight="true" outlineLevel="0" collapsed="false">
      <c r="A158" s="3" t="s">
        <v>1259</v>
      </c>
      <c r="B158" s="3" t="s">
        <v>1260</v>
      </c>
      <c r="C158" s="3" t="n">
        <v>221036</v>
      </c>
      <c r="D158" s="3" t="s">
        <v>1282</v>
      </c>
      <c r="E158" s="18" t="n">
        <v>45111</v>
      </c>
      <c r="F158" s="3" t="s">
        <v>1262</v>
      </c>
      <c r="G158" s="3" t="s">
        <v>5</v>
      </c>
      <c r="H158" s="19"/>
      <c r="I158" s="19"/>
      <c r="J158" s="20"/>
      <c r="K158" s="20"/>
      <c r="L158" s="19"/>
      <c r="M158" s="19"/>
      <c r="N158" s="19"/>
      <c r="O158" s="20"/>
      <c r="P158" s="20"/>
    </row>
    <row r="159" customFormat="false" ht="14.25" hidden="false" customHeight="true" outlineLevel="0" collapsed="false">
      <c r="A159" s="3" t="s">
        <v>1259</v>
      </c>
      <c r="B159" s="3" t="s">
        <v>1260</v>
      </c>
      <c r="C159" s="3" t="n">
        <v>221036</v>
      </c>
      <c r="D159" s="3" t="s">
        <v>1283</v>
      </c>
      <c r="E159" s="18" t="n">
        <v>45125</v>
      </c>
      <c r="F159" s="3" t="s">
        <v>1262</v>
      </c>
      <c r="G159" s="3" t="s">
        <v>5</v>
      </c>
      <c r="H159" s="19"/>
      <c r="I159" s="19"/>
      <c r="J159" s="20"/>
      <c r="K159" s="20"/>
      <c r="L159" s="19"/>
      <c r="M159" s="19"/>
      <c r="N159" s="19"/>
      <c r="O159" s="20"/>
      <c r="P159" s="20"/>
    </row>
    <row r="160" customFormat="false" ht="14.25" hidden="false" customHeight="true" outlineLevel="0" collapsed="false">
      <c r="A160" s="3" t="s">
        <v>1259</v>
      </c>
      <c r="B160" s="3" t="s">
        <v>1260</v>
      </c>
      <c r="C160" s="3" t="n">
        <v>221036</v>
      </c>
      <c r="D160" s="3" t="s">
        <v>1284</v>
      </c>
      <c r="E160" s="18" t="n">
        <v>45141</v>
      </c>
      <c r="F160" s="3" t="s">
        <v>1262</v>
      </c>
      <c r="G160" s="3" t="s">
        <v>5</v>
      </c>
      <c r="H160" s="19"/>
      <c r="I160" s="19"/>
      <c r="J160" s="20"/>
      <c r="K160" s="20"/>
      <c r="L160" s="19"/>
      <c r="M160" s="19"/>
      <c r="N160" s="19"/>
      <c r="O160" s="20"/>
      <c r="P160" s="20"/>
    </row>
    <row r="161" customFormat="false" ht="14.25" hidden="false" customHeight="true" outlineLevel="0" collapsed="false">
      <c r="A161" s="3" t="s">
        <v>1259</v>
      </c>
      <c r="B161" s="3" t="s">
        <v>1260</v>
      </c>
      <c r="C161" s="3" t="n">
        <v>221036</v>
      </c>
      <c r="D161" s="3" t="s">
        <v>1286</v>
      </c>
      <c r="E161" s="18" t="n">
        <v>45152</v>
      </c>
      <c r="F161" s="3" t="s">
        <v>1262</v>
      </c>
      <c r="G161" s="3" t="s">
        <v>5</v>
      </c>
      <c r="H161" s="19"/>
      <c r="I161" s="19"/>
      <c r="J161" s="20"/>
      <c r="K161" s="20"/>
      <c r="L161" s="19"/>
      <c r="M161" s="19"/>
      <c r="N161" s="19"/>
      <c r="O161" s="20"/>
      <c r="P161" s="20"/>
    </row>
    <row r="162" customFormat="false" ht="14.25" hidden="false" customHeight="true" outlineLevel="0" collapsed="false">
      <c r="A162" s="3" t="s">
        <v>1259</v>
      </c>
      <c r="B162" s="3" t="s">
        <v>1260</v>
      </c>
      <c r="C162" s="3" t="n">
        <v>221036</v>
      </c>
      <c r="D162" s="3" t="s">
        <v>1326</v>
      </c>
      <c r="E162" s="18" t="n">
        <v>45152</v>
      </c>
      <c r="F162" s="3" t="s">
        <v>1262</v>
      </c>
      <c r="G162" s="3" t="s">
        <v>1275</v>
      </c>
      <c r="H162" s="19"/>
      <c r="I162" s="19"/>
      <c r="J162" s="20"/>
      <c r="K162" s="20"/>
      <c r="L162" s="19"/>
      <c r="M162" s="19"/>
      <c r="N162" s="19"/>
      <c r="O162" s="20"/>
      <c r="P162" s="20"/>
    </row>
    <row r="163" customFormat="false" ht="14.25" hidden="false" customHeight="true" outlineLevel="0" collapsed="false">
      <c r="A163" s="3" t="s">
        <v>1259</v>
      </c>
      <c r="B163" s="3" t="s">
        <v>1260</v>
      </c>
      <c r="C163" s="3" t="n">
        <v>221036</v>
      </c>
      <c r="D163" s="3" t="s">
        <v>1287</v>
      </c>
      <c r="E163" s="18" t="n">
        <v>45167</v>
      </c>
      <c r="F163" s="3" t="s">
        <v>1262</v>
      </c>
      <c r="G163" s="3" t="s">
        <v>5</v>
      </c>
      <c r="H163" s="19"/>
      <c r="I163" s="19"/>
      <c r="J163" s="20"/>
      <c r="K163" s="20"/>
      <c r="L163" s="19"/>
      <c r="M163" s="19"/>
      <c r="N163" s="19"/>
      <c r="O163" s="20"/>
      <c r="P163" s="20"/>
    </row>
    <row r="164" customFormat="false" ht="14.25" hidden="false" customHeight="true" outlineLevel="0" collapsed="false">
      <c r="A164" s="3" t="s">
        <v>1259</v>
      </c>
      <c r="B164" s="3" t="s">
        <v>1260</v>
      </c>
      <c r="C164" s="3" t="n">
        <v>221036</v>
      </c>
      <c r="D164" s="3" t="s">
        <v>1288</v>
      </c>
      <c r="E164" s="18" t="n">
        <v>45183</v>
      </c>
      <c r="F164" s="3" t="s">
        <v>1262</v>
      </c>
      <c r="G164" s="3" t="s">
        <v>5</v>
      </c>
      <c r="H164" s="19"/>
      <c r="I164" s="19"/>
      <c r="J164" s="20"/>
      <c r="K164" s="20"/>
      <c r="L164" s="19"/>
      <c r="M164" s="19"/>
      <c r="N164" s="19"/>
      <c r="O164" s="20"/>
      <c r="P164" s="20"/>
    </row>
    <row r="165" customFormat="false" ht="14.25" hidden="false" customHeight="true" outlineLevel="0" collapsed="false">
      <c r="A165" s="3" t="s">
        <v>1259</v>
      </c>
      <c r="B165" s="3" t="s">
        <v>1260</v>
      </c>
      <c r="C165" s="3" t="n">
        <v>221036</v>
      </c>
      <c r="D165" s="3" t="s">
        <v>1289</v>
      </c>
      <c r="E165" s="18" t="n">
        <v>45196</v>
      </c>
      <c r="F165" s="3" t="s">
        <v>1262</v>
      </c>
      <c r="G165" s="3" t="s">
        <v>5</v>
      </c>
      <c r="H165" s="19"/>
      <c r="I165" s="19"/>
      <c r="J165" s="20"/>
      <c r="K165" s="20"/>
      <c r="L165" s="19"/>
      <c r="M165" s="19"/>
      <c r="N165" s="19"/>
      <c r="O165" s="20"/>
      <c r="P165" s="20"/>
    </row>
    <row r="166" customFormat="false" ht="14.25" hidden="false" customHeight="true" outlineLevel="0" collapsed="false">
      <c r="A166" s="3" t="s">
        <v>1259</v>
      </c>
      <c r="B166" s="3" t="s">
        <v>1260</v>
      </c>
      <c r="C166" s="3" t="n">
        <v>221036</v>
      </c>
      <c r="D166" s="3" t="s">
        <v>1290</v>
      </c>
      <c r="E166" s="18" t="n">
        <v>45209</v>
      </c>
      <c r="F166" s="3" t="s">
        <v>1262</v>
      </c>
      <c r="G166" s="3" t="s">
        <v>5</v>
      </c>
      <c r="H166" s="19"/>
      <c r="I166" s="19"/>
      <c r="J166" s="20"/>
      <c r="K166" s="20"/>
      <c r="L166" s="19"/>
      <c r="M166" s="19"/>
      <c r="N166" s="19"/>
      <c r="O166" s="20"/>
      <c r="P166" s="20"/>
    </row>
    <row r="167" customFormat="false" ht="14.25" hidden="false" customHeight="true" outlineLevel="0" collapsed="false">
      <c r="A167" s="3" t="s">
        <v>1259</v>
      </c>
      <c r="B167" s="3" t="s">
        <v>1260</v>
      </c>
      <c r="C167" s="3" t="n">
        <v>221036</v>
      </c>
      <c r="D167" s="3" t="s">
        <v>1327</v>
      </c>
      <c r="E167" s="18" t="n">
        <v>45209</v>
      </c>
      <c r="F167" s="3" t="s">
        <v>1262</v>
      </c>
      <c r="G167" s="3" t="s">
        <v>1275</v>
      </c>
      <c r="H167" s="19"/>
      <c r="I167" s="19"/>
      <c r="J167" s="20"/>
      <c r="K167" s="20"/>
      <c r="L167" s="19"/>
      <c r="M167" s="19"/>
      <c r="N167" s="19"/>
      <c r="O167" s="20"/>
      <c r="P167" s="20"/>
    </row>
    <row r="168" customFormat="false" ht="14.25" hidden="false" customHeight="true" outlineLevel="0" collapsed="false">
      <c r="A168" s="3" t="s">
        <v>1259</v>
      </c>
      <c r="B168" s="3" t="s">
        <v>1260</v>
      </c>
      <c r="C168" s="3" t="n">
        <v>221036</v>
      </c>
      <c r="D168" s="3" t="s">
        <v>1292</v>
      </c>
      <c r="E168" s="18" t="n">
        <v>45225</v>
      </c>
      <c r="F168" s="3" t="s">
        <v>1262</v>
      </c>
      <c r="G168" s="3" t="s">
        <v>5</v>
      </c>
      <c r="H168" s="19"/>
      <c r="I168" s="19"/>
      <c r="J168" s="20"/>
      <c r="K168" s="20"/>
      <c r="L168" s="19"/>
      <c r="M168" s="19"/>
      <c r="N168" s="19"/>
      <c r="O168" s="20"/>
      <c r="P168" s="20"/>
    </row>
    <row r="169" customFormat="false" ht="14.25" hidden="false" customHeight="true" outlineLevel="0" collapsed="false">
      <c r="A169" s="3" t="s">
        <v>1259</v>
      </c>
      <c r="B169" s="3" t="s">
        <v>1260</v>
      </c>
      <c r="C169" s="3" t="n">
        <v>221036</v>
      </c>
      <c r="D169" s="3" t="s">
        <v>1293</v>
      </c>
      <c r="E169" s="18" t="n">
        <v>45237</v>
      </c>
      <c r="F169" s="3" t="s">
        <v>1262</v>
      </c>
      <c r="G169" s="3" t="s">
        <v>5</v>
      </c>
      <c r="H169" s="19"/>
      <c r="I169" s="19"/>
      <c r="J169" s="20"/>
      <c r="K169" s="20"/>
      <c r="L169" s="19"/>
      <c r="M169" s="19"/>
      <c r="N169" s="19"/>
      <c r="O169" s="20"/>
      <c r="P169" s="20"/>
    </row>
    <row r="170" customFormat="false" ht="14.25" hidden="false" customHeight="true" outlineLevel="0" collapsed="false">
      <c r="A170" s="3" t="s">
        <v>1259</v>
      </c>
      <c r="B170" s="3" t="s">
        <v>1260</v>
      </c>
      <c r="C170" s="3" t="n">
        <v>221036</v>
      </c>
      <c r="D170" s="3" t="s">
        <v>1294</v>
      </c>
      <c r="E170" s="18" t="n">
        <v>45251</v>
      </c>
      <c r="F170" s="3" t="s">
        <v>1262</v>
      </c>
      <c r="G170" s="3" t="s">
        <v>5</v>
      </c>
      <c r="H170" s="19"/>
      <c r="I170" s="19"/>
      <c r="J170" s="20"/>
      <c r="K170" s="20"/>
      <c r="L170" s="19"/>
      <c r="M170" s="19"/>
      <c r="N170" s="19"/>
      <c r="O170" s="20"/>
      <c r="P170" s="20"/>
    </row>
    <row r="171" customFormat="false" ht="14.25" hidden="false" customHeight="true" outlineLevel="0" collapsed="false">
      <c r="A171" s="3" t="s">
        <v>1259</v>
      </c>
      <c r="B171" s="3" t="s">
        <v>1260</v>
      </c>
      <c r="C171" s="3" t="n">
        <v>221036</v>
      </c>
      <c r="D171" s="3" t="s">
        <v>1295</v>
      </c>
      <c r="E171" s="18" t="n">
        <v>45265</v>
      </c>
      <c r="F171" s="3" t="s">
        <v>1262</v>
      </c>
      <c r="G171" s="3" t="s">
        <v>5</v>
      </c>
      <c r="H171" s="19"/>
      <c r="I171" s="19"/>
      <c r="J171" s="20"/>
      <c r="K171" s="20"/>
      <c r="L171" s="19"/>
      <c r="M171" s="19"/>
      <c r="N171" s="19"/>
      <c r="O171" s="20"/>
      <c r="P171" s="20"/>
    </row>
    <row r="172" customFormat="false" ht="14.25" hidden="false" customHeight="true" outlineLevel="0" collapsed="false">
      <c r="A172" s="3" t="s">
        <v>1259</v>
      </c>
      <c r="B172" s="3" t="s">
        <v>1260</v>
      </c>
      <c r="C172" s="3" t="n">
        <v>221036</v>
      </c>
      <c r="D172" s="3" t="s">
        <v>1328</v>
      </c>
      <c r="E172" s="18" t="n">
        <v>45265</v>
      </c>
      <c r="F172" s="3" t="s">
        <v>1262</v>
      </c>
      <c r="G172" s="3" t="s">
        <v>1275</v>
      </c>
      <c r="H172" s="19"/>
      <c r="I172" s="19"/>
      <c r="J172" s="20"/>
      <c r="K172" s="20"/>
      <c r="L172" s="19"/>
      <c r="M172" s="19"/>
      <c r="N172" s="19"/>
      <c r="O172" s="20"/>
      <c r="P172" s="20"/>
    </row>
    <row r="173" customFormat="false" ht="14.25" hidden="false" customHeight="true" outlineLevel="0" collapsed="false">
      <c r="A173" s="3" t="s">
        <v>1259</v>
      </c>
      <c r="B173" s="3" t="s">
        <v>1260</v>
      </c>
      <c r="C173" s="3" t="n">
        <v>221036</v>
      </c>
      <c r="D173" s="3" t="s">
        <v>1297</v>
      </c>
      <c r="E173" s="18" t="n">
        <v>45279</v>
      </c>
      <c r="F173" s="3" t="s">
        <v>1262</v>
      </c>
      <c r="G173" s="3" t="s">
        <v>5</v>
      </c>
      <c r="H173" s="19"/>
      <c r="I173" s="19"/>
      <c r="J173" s="20"/>
      <c r="K173" s="20"/>
      <c r="L173" s="19"/>
      <c r="M173" s="19"/>
      <c r="N173" s="19"/>
      <c r="O173" s="20"/>
      <c r="P173" s="20"/>
    </row>
    <row r="174" customFormat="false" ht="14.25" hidden="false" customHeight="true" outlineLevel="0" collapsed="false">
      <c r="A174" s="3" t="s">
        <v>1259</v>
      </c>
      <c r="B174" s="3" t="s">
        <v>1260</v>
      </c>
      <c r="C174" s="3" t="n">
        <v>221036</v>
      </c>
      <c r="D174" s="3" t="s">
        <v>1329</v>
      </c>
      <c r="E174" s="18" t="n">
        <v>45286</v>
      </c>
      <c r="F174" s="3" t="s">
        <v>1262</v>
      </c>
      <c r="G174" s="3" t="s">
        <v>1268</v>
      </c>
      <c r="H174" s="19"/>
      <c r="I174" s="19"/>
      <c r="J174" s="20"/>
      <c r="K174" s="20"/>
      <c r="L174" s="19"/>
      <c r="M174" s="19"/>
      <c r="N174" s="19"/>
      <c r="O174" s="20"/>
      <c r="P174" s="20"/>
    </row>
    <row r="175" customFormat="false" ht="14.25" hidden="false" customHeight="true" outlineLevel="0" collapsed="false">
      <c r="A175" s="3" t="s">
        <v>1259</v>
      </c>
      <c r="B175" s="3" t="s">
        <v>1260</v>
      </c>
      <c r="C175" s="3" t="n">
        <v>221036</v>
      </c>
      <c r="D175" s="3" t="s">
        <v>1298</v>
      </c>
      <c r="E175" s="18" t="n">
        <v>45293</v>
      </c>
      <c r="F175" s="3" t="s">
        <v>1262</v>
      </c>
      <c r="G175" s="3" t="s">
        <v>5</v>
      </c>
      <c r="H175" s="19"/>
      <c r="I175" s="19"/>
      <c r="J175" s="20"/>
      <c r="K175" s="20"/>
      <c r="L175" s="19"/>
      <c r="M175" s="19"/>
      <c r="N175" s="19"/>
      <c r="O175" s="20"/>
      <c r="P175" s="20"/>
    </row>
    <row r="176" customFormat="false" ht="14.25" hidden="false" customHeight="true" outlineLevel="0" collapsed="false">
      <c r="A176" s="3" t="s">
        <v>1259</v>
      </c>
      <c r="B176" s="3" t="s">
        <v>1260</v>
      </c>
      <c r="C176" s="3" t="n">
        <v>221036</v>
      </c>
      <c r="D176" s="3" t="s">
        <v>1299</v>
      </c>
      <c r="E176" s="18" t="n">
        <v>45307</v>
      </c>
      <c r="F176" s="3" t="s">
        <v>1262</v>
      </c>
      <c r="G176" s="3" t="s">
        <v>5</v>
      </c>
      <c r="H176" s="19"/>
      <c r="I176" s="19"/>
      <c r="J176" s="20"/>
      <c r="K176" s="20"/>
      <c r="L176" s="19"/>
      <c r="M176" s="19"/>
      <c r="N176" s="19"/>
      <c r="O176" s="20"/>
      <c r="P176" s="20"/>
    </row>
    <row r="177" customFormat="false" ht="14.25" hidden="false" customHeight="true" outlineLevel="0" collapsed="false">
      <c r="A177" s="3" t="s">
        <v>1259</v>
      </c>
      <c r="B177" s="3" t="s">
        <v>1260</v>
      </c>
      <c r="C177" s="3" t="n">
        <v>221036</v>
      </c>
      <c r="D177" s="3" t="s">
        <v>1300</v>
      </c>
      <c r="E177" s="18" t="n">
        <v>45321</v>
      </c>
      <c r="F177" s="3" t="s">
        <v>1262</v>
      </c>
      <c r="G177" s="3" t="s">
        <v>5</v>
      </c>
      <c r="H177" s="19"/>
      <c r="I177" s="19"/>
      <c r="J177" s="20"/>
      <c r="K177" s="20"/>
      <c r="L177" s="19"/>
      <c r="M177" s="19"/>
      <c r="N177" s="19"/>
      <c r="O177" s="20"/>
      <c r="P177" s="20"/>
    </row>
    <row r="178" customFormat="false" ht="14.25" hidden="false" customHeight="true" outlineLevel="0" collapsed="false">
      <c r="A178" s="3" t="s">
        <v>1259</v>
      </c>
      <c r="B178" s="3" t="s">
        <v>1260</v>
      </c>
      <c r="C178" s="3" t="n">
        <v>221036</v>
      </c>
      <c r="D178" s="3" t="s">
        <v>1330</v>
      </c>
      <c r="E178" s="18" t="n">
        <v>45321</v>
      </c>
      <c r="F178" s="3" t="s">
        <v>1262</v>
      </c>
      <c r="G178" s="3" t="s">
        <v>1275</v>
      </c>
      <c r="H178" s="19"/>
      <c r="I178" s="19"/>
      <c r="J178" s="20"/>
      <c r="K178" s="20"/>
      <c r="L178" s="19"/>
      <c r="M178" s="19"/>
      <c r="N178" s="19"/>
      <c r="O178" s="20"/>
      <c r="P178" s="20"/>
    </row>
    <row r="179" customFormat="false" ht="14.25" hidden="false" customHeight="true" outlineLevel="0" collapsed="false">
      <c r="A179" s="3" t="s">
        <v>1259</v>
      </c>
      <c r="B179" s="3" t="s">
        <v>1260</v>
      </c>
      <c r="C179" s="3" t="n">
        <v>221036</v>
      </c>
      <c r="D179" s="3" t="s">
        <v>1302</v>
      </c>
      <c r="E179" s="18" t="n">
        <v>45335</v>
      </c>
      <c r="F179" s="3" t="s">
        <v>1262</v>
      </c>
      <c r="G179" s="3" t="s">
        <v>5</v>
      </c>
      <c r="H179" s="19"/>
      <c r="I179" s="19"/>
      <c r="J179" s="20"/>
      <c r="K179" s="20"/>
      <c r="L179" s="19"/>
      <c r="M179" s="19"/>
      <c r="N179" s="19"/>
      <c r="O179" s="20"/>
      <c r="P179" s="20"/>
    </row>
    <row r="180" customFormat="false" ht="14.25" hidden="false" customHeight="true" outlineLevel="0" collapsed="false">
      <c r="A180" s="3" t="s">
        <v>1259</v>
      </c>
      <c r="B180" s="3" t="s">
        <v>1260</v>
      </c>
      <c r="C180" s="3" t="n">
        <v>221036</v>
      </c>
      <c r="D180" s="3" t="s">
        <v>1303</v>
      </c>
      <c r="E180" s="18" t="n">
        <v>45349</v>
      </c>
      <c r="F180" s="3" t="s">
        <v>1262</v>
      </c>
      <c r="G180" s="3" t="s">
        <v>5</v>
      </c>
      <c r="H180" s="19"/>
      <c r="I180" s="19"/>
      <c r="J180" s="20"/>
      <c r="K180" s="20"/>
      <c r="L180" s="19"/>
      <c r="M180" s="19"/>
      <c r="N180" s="19"/>
      <c r="O180" s="20"/>
      <c r="P180" s="20"/>
    </row>
    <row r="181" customFormat="false" ht="14.25" hidden="false" customHeight="true" outlineLevel="0" collapsed="false">
      <c r="A181" s="3" t="s">
        <v>1259</v>
      </c>
      <c r="B181" s="3" t="s">
        <v>1260</v>
      </c>
      <c r="C181" s="3" t="n">
        <v>221036</v>
      </c>
      <c r="D181" s="3" t="s">
        <v>1304</v>
      </c>
      <c r="E181" s="18" t="n">
        <v>45363</v>
      </c>
      <c r="F181" s="3" t="s">
        <v>1262</v>
      </c>
      <c r="G181" s="3" t="s">
        <v>5</v>
      </c>
      <c r="H181" s="19"/>
      <c r="I181" s="19"/>
      <c r="J181" s="20"/>
      <c r="K181" s="20"/>
      <c r="L181" s="19"/>
      <c r="M181" s="19"/>
      <c r="N181" s="19"/>
      <c r="O181" s="20"/>
      <c r="P181" s="20"/>
    </row>
    <row r="182" customFormat="false" ht="14.25" hidden="false" customHeight="true" outlineLevel="0" collapsed="false">
      <c r="A182" s="3" t="s">
        <v>1259</v>
      </c>
      <c r="B182" s="3" t="s">
        <v>1260</v>
      </c>
      <c r="C182" s="3" t="n">
        <v>221036</v>
      </c>
      <c r="D182" s="3" t="s">
        <v>1305</v>
      </c>
      <c r="E182" s="18" t="n">
        <v>45377</v>
      </c>
      <c r="F182" s="3" t="s">
        <v>1262</v>
      </c>
      <c r="G182" s="3" t="s">
        <v>5</v>
      </c>
      <c r="H182" s="19"/>
      <c r="I182" s="19"/>
      <c r="J182" s="20"/>
      <c r="K182" s="20"/>
      <c r="L182" s="19"/>
      <c r="M182" s="19"/>
      <c r="N182" s="19"/>
      <c r="O182" s="20"/>
      <c r="P182" s="20"/>
    </row>
    <row r="183" customFormat="false" ht="14.25" hidden="false" customHeight="true" outlineLevel="0" collapsed="false">
      <c r="A183" s="3" t="s">
        <v>1259</v>
      </c>
      <c r="B183" s="3" t="s">
        <v>1260</v>
      </c>
      <c r="C183" s="3" t="n">
        <v>221036</v>
      </c>
      <c r="D183" s="3" t="s">
        <v>1331</v>
      </c>
      <c r="E183" s="18" t="n">
        <v>45377</v>
      </c>
      <c r="F183" s="3" t="s">
        <v>1262</v>
      </c>
      <c r="G183" s="3" t="s">
        <v>1275</v>
      </c>
      <c r="H183" s="19"/>
      <c r="I183" s="19"/>
      <c r="J183" s="20"/>
      <c r="K183" s="20"/>
      <c r="L183" s="19"/>
      <c r="M183" s="19"/>
      <c r="N183" s="19"/>
      <c r="O183" s="20"/>
      <c r="P183" s="20"/>
    </row>
    <row r="184" customFormat="false" ht="14.25" hidden="false" customHeight="true" outlineLevel="0" collapsed="false">
      <c r="A184" s="3" t="s">
        <v>1259</v>
      </c>
      <c r="B184" s="3" t="s">
        <v>1260</v>
      </c>
      <c r="C184" s="3" t="n">
        <v>221036</v>
      </c>
      <c r="D184" s="3" t="s">
        <v>1307</v>
      </c>
      <c r="E184" s="18" t="n">
        <v>45391</v>
      </c>
      <c r="F184" s="3" t="s">
        <v>1262</v>
      </c>
      <c r="G184" s="3" t="s">
        <v>5</v>
      </c>
      <c r="H184" s="19"/>
      <c r="I184" s="19"/>
      <c r="J184" s="20"/>
      <c r="K184" s="20"/>
      <c r="L184" s="19"/>
      <c r="M184" s="19"/>
      <c r="N184" s="19"/>
      <c r="O184" s="20"/>
      <c r="P184" s="20"/>
    </row>
    <row r="185" customFormat="false" ht="14.25" hidden="false" customHeight="true" outlineLevel="0" collapsed="false">
      <c r="A185" s="3" t="s">
        <v>1259</v>
      </c>
      <c r="B185" s="3" t="s">
        <v>1260</v>
      </c>
      <c r="C185" s="3" t="n">
        <v>221036</v>
      </c>
      <c r="D185" s="3" t="s">
        <v>1308</v>
      </c>
      <c r="E185" s="18" t="n">
        <v>45405</v>
      </c>
      <c r="F185" s="3" t="s">
        <v>1262</v>
      </c>
      <c r="G185" s="3" t="s">
        <v>5</v>
      </c>
      <c r="H185" s="19"/>
      <c r="I185" s="19"/>
      <c r="J185" s="20"/>
      <c r="K185" s="20"/>
      <c r="L185" s="19"/>
      <c r="M185" s="19"/>
      <c r="N185" s="19"/>
      <c r="O185" s="20"/>
      <c r="P185" s="20"/>
    </row>
    <row r="186" customFormat="false" ht="14.25" hidden="false" customHeight="true" outlineLevel="0" collapsed="false">
      <c r="A186" s="3" t="s">
        <v>1259</v>
      </c>
      <c r="B186" s="3" t="s">
        <v>1260</v>
      </c>
      <c r="C186" s="3" t="n">
        <v>221036</v>
      </c>
      <c r="D186" s="3" t="s">
        <v>1309</v>
      </c>
      <c r="E186" s="18" t="n">
        <v>45419</v>
      </c>
      <c r="F186" s="3" t="s">
        <v>1262</v>
      </c>
      <c r="G186" s="3" t="s">
        <v>5</v>
      </c>
      <c r="H186" s="19"/>
      <c r="I186" s="19"/>
      <c r="J186" s="20"/>
      <c r="K186" s="20"/>
      <c r="L186" s="19"/>
      <c r="M186" s="19"/>
      <c r="N186" s="19"/>
      <c r="O186" s="20"/>
      <c r="P186" s="20"/>
    </row>
    <row r="187" customFormat="false" ht="14.25" hidden="false" customHeight="true" outlineLevel="0" collapsed="false">
      <c r="A187" s="3" t="s">
        <v>1259</v>
      </c>
      <c r="B187" s="3" t="s">
        <v>1260</v>
      </c>
      <c r="C187" s="3" t="n">
        <v>221036</v>
      </c>
      <c r="D187" s="3" t="s">
        <v>1310</v>
      </c>
      <c r="E187" s="18" t="n">
        <v>45433</v>
      </c>
      <c r="F187" s="3" t="s">
        <v>1262</v>
      </c>
      <c r="G187" s="3" t="s">
        <v>5</v>
      </c>
      <c r="H187" s="19"/>
      <c r="I187" s="19"/>
      <c r="J187" s="20"/>
      <c r="K187" s="20"/>
      <c r="L187" s="19"/>
      <c r="M187" s="19"/>
      <c r="N187" s="19"/>
      <c r="O187" s="20"/>
      <c r="P187" s="20"/>
    </row>
    <row r="188" customFormat="false" ht="14.25" hidden="false" customHeight="true" outlineLevel="0" collapsed="false">
      <c r="A188" s="3" t="s">
        <v>1259</v>
      </c>
      <c r="B188" s="3" t="s">
        <v>1260</v>
      </c>
      <c r="C188" s="3" t="n">
        <v>221036</v>
      </c>
      <c r="D188" s="3" t="s">
        <v>1332</v>
      </c>
      <c r="E188" s="18" t="n">
        <v>45433</v>
      </c>
      <c r="F188" s="3" t="s">
        <v>1262</v>
      </c>
      <c r="G188" s="3" t="s">
        <v>1275</v>
      </c>
      <c r="H188" s="19"/>
      <c r="I188" s="19"/>
      <c r="J188" s="20"/>
      <c r="K188" s="20"/>
      <c r="L188" s="19"/>
      <c r="M188" s="19"/>
      <c r="N188" s="19"/>
      <c r="O188" s="20"/>
      <c r="P188" s="20"/>
    </row>
    <row r="189" customFormat="false" ht="14.25" hidden="false" customHeight="true" outlineLevel="0" collapsed="false">
      <c r="A189" s="3" t="s">
        <v>1259</v>
      </c>
      <c r="B189" s="3" t="s">
        <v>1260</v>
      </c>
      <c r="C189" s="3" t="n">
        <v>221039</v>
      </c>
      <c r="D189" s="3" t="s">
        <v>1261</v>
      </c>
      <c r="E189" s="18" t="n">
        <v>44973</v>
      </c>
      <c r="F189" s="3" t="s">
        <v>1333</v>
      </c>
      <c r="G189" s="3" t="s">
        <v>5</v>
      </c>
      <c r="H189" s="19" t="n">
        <v>44973</v>
      </c>
      <c r="I189" s="19" t="n">
        <v>44796</v>
      </c>
      <c r="J189" s="20" t="n">
        <v>72</v>
      </c>
      <c r="K189" s="20" t="s">
        <v>1313</v>
      </c>
      <c r="L189" s="19" t="s">
        <v>12</v>
      </c>
      <c r="M189" s="19" t="s">
        <v>1334</v>
      </c>
      <c r="N189" s="19" t="n">
        <v>44993</v>
      </c>
      <c r="O189" s="20"/>
      <c r="P189" s="20" t="s">
        <v>1335</v>
      </c>
    </row>
    <row r="190" customFormat="false" ht="14.25" hidden="false" customHeight="true" outlineLevel="0" collapsed="false">
      <c r="A190" s="3" t="s">
        <v>1259</v>
      </c>
      <c r="B190" s="3" t="s">
        <v>1260</v>
      </c>
      <c r="C190" s="3" t="n">
        <v>221039</v>
      </c>
      <c r="D190" s="3" t="s">
        <v>1336</v>
      </c>
      <c r="E190" s="18" t="n">
        <v>44977</v>
      </c>
      <c r="F190" s="3" t="s">
        <v>1333</v>
      </c>
      <c r="G190" s="3" t="s">
        <v>1268</v>
      </c>
      <c r="H190" s="19"/>
      <c r="I190" s="19"/>
      <c r="J190" s="20"/>
      <c r="K190" s="20"/>
      <c r="L190" s="19"/>
      <c r="M190" s="19"/>
      <c r="N190" s="19"/>
      <c r="O190" s="20"/>
      <c r="P190" s="20"/>
    </row>
    <row r="191" customFormat="false" ht="14.25" hidden="false" customHeight="true" outlineLevel="0" collapsed="false">
      <c r="A191" s="3" t="s">
        <v>1259</v>
      </c>
      <c r="B191" s="3" t="s">
        <v>1260</v>
      </c>
      <c r="C191" s="3" t="n">
        <v>221047</v>
      </c>
      <c r="D191" s="3" t="s">
        <v>1261</v>
      </c>
      <c r="E191" s="18" t="n">
        <v>44980</v>
      </c>
      <c r="F191" s="3" t="s">
        <v>1262</v>
      </c>
      <c r="G191" s="3" t="s">
        <v>5</v>
      </c>
      <c r="H191" s="19" t="n">
        <v>44980</v>
      </c>
      <c r="I191" s="19" t="n">
        <v>44796</v>
      </c>
      <c r="J191" s="20" t="n">
        <v>66</v>
      </c>
      <c r="K191" s="20" t="s">
        <v>1263</v>
      </c>
      <c r="L191" s="19" t="s">
        <v>12</v>
      </c>
      <c r="M191" s="19" t="s">
        <v>1334</v>
      </c>
      <c r="N191" s="19"/>
      <c r="O191" s="20"/>
      <c r="P191" s="20"/>
    </row>
    <row r="192" customFormat="false" ht="14.25" hidden="false" customHeight="true" outlineLevel="0" collapsed="false">
      <c r="A192" s="3" t="s">
        <v>1259</v>
      </c>
      <c r="B192" s="3" t="s">
        <v>1260</v>
      </c>
      <c r="C192" s="3" t="n">
        <v>221047</v>
      </c>
      <c r="D192" s="3" t="s">
        <v>1267</v>
      </c>
      <c r="E192" s="18" t="n">
        <v>44987</v>
      </c>
      <c r="F192" s="3" t="s">
        <v>1262</v>
      </c>
      <c r="G192" s="3" t="s">
        <v>1268</v>
      </c>
      <c r="H192" s="19"/>
      <c r="I192" s="19"/>
      <c r="J192" s="20"/>
      <c r="K192" s="20"/>
      <c r="L192" s="19"/>
      <c r="M192" s="19"/>
      <c r="N192" s="19"/>
      <c r="O192" s="20"/>
      <c r="P192" s="20"/>
    </row>
    <row r="193" customFormat="false" ht="14.25" hidden="false" customHeight="true" outlineLevel="0" collapsed="false">
      <c r="A193" s="3" t="s">
        <v>1259</v>
      </c>
      <c r="B193" s="3" t="s">
        <v>1260</v>
      </c>
      <c r="C193" s="3" t="n">
        <v>221047</v>
      </c>
      <c r="D193" s="3" t="s">
        <v>1264</v>
      </c>
      <c r="E193" s="18" t="n">
        <v>44999</v>
      </c>
      <c r="F193" s="3" t="s">
        <v>1262</v>
      </c>
      <c r="G193" s="3" t="s">
        <v>5</v>
      </c>
      <c r="H193" s="19"/>
      <c r="I193" s="19"/>
      <c r="J193" s="20"/>
      <c r="K193" s="20"/>
      <c r="L193" s="19"/>
      <c r="M193" s="19"/>
      <c r="N193" s="19"/>
      <c r="O193" s="20"/>
      <c r="P193" s="20"/>
    </row>
    <row r="194" customFormat="false" ht="14.25" hidden="false" customHeight="true" outlineLevel="0" collapsed="false">
      <c r="A194" s="3" t="s">
        <v>1259</v>
      </c>
      <c r="B194" s="3" t="s">
        <v>1260</v>
      </c>
      <c r="C194" s="3" t="n">
        <v>221047</v>
      </c>
      <c r="D194" s="3" t="s">
        <v>1265</v>
      </c>
      <c r="E194" s="18" t="n">
        <v>45001</v>
      </c>
      <c r="F194" s="3" t="s">
        <v>1262</v>
      </c>
      <c r="G194" s="3" t="s">
        <v>5</v>
      </c>
      <c r="H194" s="19"/>
      <c r="I194" s="19"/>
      <c r="J194" s="20"/>
      <c r="K194" s="20"/>
      <c r="L194" s="19"/>
      <c r="M194" s="19"/>
      <c r="N194" s="19"/>
      <c r="O194" s="20"/>
      <c r="P194" s="20"/>
    </row>
    <row r="195" customFormat="false" ht="14.25" hidden="false" customHeight="true" outlineLevel="0" collapsed="false">
      <c r="A195" s="3" t="s">
        <v>1259</v>
      </c>
      <c r="B195" s="3" t="s">
        <v>1260</v>
      </c>
      <c r="C195" s="3" t="n">
        <v>221047</v>
      </c>
      <c r="D195" s="3" t="s">
        <v>1266</v>
      </c>
      <c r="E195" s="18" t="n">
        <v>45006</v>
      </c>
      <c r="F195" s="3" t="s">
        <v>1262</v>
      </c>
      <c r="G195" s="3" t="s">
        <v>5</v>
      </c>
      <c r="H195" s="19"/>
      <c r="I195" s="19"/>
      <c r="J195" s="20"/>
      <c r="K195" s="20"/>
      <c r="L195" s="19"/>
      <c r="M195" s="19"/>
      <c r="N195" s="19"/>
      <c r="O195" s="20"/>
      <c r="P195" s="20"/>
    </row>
    <row r="196" customFormat="false" ht="14.25" hidden="false" customHeight="true" outlineLevel="0" collapsed="false">
      <c r="A196" s="3" t="s">
        <v>1259</v>
      </c>
      <c r="B196" s="3" t="s">
        <v>1260</v>
      </c>
      <c r="C196" s="3" t="n">
        <v>221047</v>
      </c>
      <c r="D196" s="3" t="s">
        <v>1337</v>
      </c>
      <c r="E196" s="18" t="n">
        <v>45013</v>
      </c>
      <c r="F196" s="3" t="s">
        <v>1262</v>
      </c>
      <c r="G196" s="3" t="s">
        <v>5</v>
      </c>
      <c r="H196" s="19"/>
      <c r="I196" s="19"/>
      <c r="J196" s="20"/>
      <c r="K196" s="20"/>
      <c r="L196" s="19"/>
      <c r="M196" s="19"/>
      <c r="N196" s="19"/>
      <c r="O196" s="20"/>
      <c r="P196" s="20"/>
    </row>
    <row r="197" customFormat="false" ht="14.25" hidden="false" customHeight="true" outlineLevel="0" collapsed="false">
      <c r="A197" s="3" t="s">
        <v>1259</v>
      </c>
      <c r="B197" s="3" t="s">
        <v>1260</v>
      </c>
      <c r="C197" s="3" t="n">
        <v>221047</v>
      </c>
      <c r="D197" s="3" t="s">
        <v>1338</v>
      </c>
      <c r="E197" s="18" t="n">
        <v>45099</v>
      </c>
      <c r="F197" s="3" t="s">
        <v>1262</v>
      </c>
      <c r="G197" s="3" t="s">
        <v>5</v>
      </c>
      <c r="H197" s="19"/>
      <c r="I197" s="19"/>
      <c r="J197" s="20"/>
      <c r="K197" s="20"/>
      <c r="L197" s="19"/>
      <c r="M197" s="19"/>
      <c r="N197" s="19"/>
      <c r="O197" s="20"/>
      <c r="P197" s="20"/>
    </row>
    <row r="198" customFormat="false" ht="14.25" hidden="false" customHeight="true" outlineLevel="0" collapsed="false">
      <c r="A198" s="3" t="s">
        <v>1259</v>
      </c>
      <c r="B198" s="3" t="s">
        <v>1260</v>
      </c>
      <c r="C198" s="3" t="n">
        <v>221047</v>
      </c>
      <c r="D198" s="3" t="s">
        <v>1339</v>
      </c>
      <c r="E198" s="18" t="n">
        <v>45180</v>
      </c>
      <c r="F198" s="3" t="s">
        <v>1262</v>
      </c>
      <c r="G198" s="3" t="s">
        <v>5</v>
      </c>
      <c r="H198" s="19"/>
      <c r="I198" s="19"/>
      <c r="J198" s="20"/>
      <c r="K198" s="20"/>
      <c r="L198" s="19"/>
      <c r="M198" s="19"/>
      <c r="N198" s="19"/>
      <c r="O198" s="20"/>
      <c r="P198" s="20"/>
    </row>
    <row r="199" customFormat="false" ht="14.25" hidden="false" customHeight="true" outlineLevel="0" collapsed="false">
      <c r="A199" s="3" t="s">
        <v>1259</v>
      </c>
      <c r="B199" s="3" t="s">
        <v>1260</v>
      </c>
      <c r="C199" s="3" t="n">
        <v>221047</v>
      </c>
      <c r="D199" s="3" t="s">
        <v>1340</v>
      </c>
      <c r="E199" s="18" t="n">
        <v>45264</v>
      </c>
      <c r="F199" s="3" t="s">
        <v>1262</v>
      </c>
      <c r="G199" s="3" t="s">
        <v>5</v>
      </c>
      <c r="H199" s="19"/>
      <c r="I199" s="19"/>
      <c r="J199" s="20"/>
      <c r="K199" s="20"/>
      <c r="L199" s="19"/>
      <c r="M199" s="19"/>
      <c r="N199" s="19"/>
      <c r="O199" s="20"/>
      <c r="P199" s="20"/>
    </row>
    <row r="200" customFormat="false" ht="14.25" hidden="false" customHeight="true" outlineLevel="0" collapsed="false">
      <c r="A200" s="3" t="s">
        <v>1259</v>
      </c>
      <c r="B200" s="3" t="s">
        <v>1260</v>
      </c>
      <c r="C200" s="3" t="n">
        <v>221047</v>
      </c>
      <c r="D200" s="3" t="s">
        <v>1341</v>
      </c>
      <c r="E200" s="18" t="n">
        <v>45350</v>
      </c>
      <c r="F200" s="3" t="s">
        <v>1262</v>
      </c>
      <c r="G200" s="3" t="s">
        <v>5</v>
      </c>
      <c r="H200" s="19"/>
      <c r="I200" s="19"/>
      <c r="J200" s="20"/>
      <c r="K200" s="20"/>
      <c r="L200" s="19"/>
      <c r="M200" s="19"/>
      <c r="N200" s="19"/>
      <c r="O200" s="20"/>
      <c r="P200" s="20"/>
    </row>
    <row r="201" customFormat="false" ht="14.25" hidden="false" customHeight="true" outlineLevel="0" collapsed="false">
      <c r="A201" s="3" t="s">
        <v>1259</v>
      </c>
      <c r="B201" s="3" t="s">
        <v>1260</v>
      </c>
      <c r="C201" s="3" t="n">
        <v>221047</v>
      </c>
      <c r="D201" s="3" t="s">
        <v>1342</v>
      </c>
      <c r="E201" s="18" t="n">
        <v>45439</v>
      </c>
      <c r="F201" s="3" t="s">
        <v>1262</v>
      </c>
      <c r="G201" s="3" t="s">
        <v>5</v>
      </c>
      <c r="H201" s="19"/>
      <c r="I201" s="19"/>
      <c r="J201" s="20"/>
      <c r="K201" s="20"/>
      <c r="L201" s="19"/>
      <c r="M201" s="19"/>
      <c r="N201" s="19"/>
      <c r="O201" s="20"/>
      <c r="P201" s="20"/>
    </row>
    <row r="202" customFormat="false" ht="14.25" hidden="false" customHeight="true" outlineLevel="0" collapsed="false">
      <c r="A202" s="3" t="s">
        <v>1259</v>
      </c>
      <c r="B202" s="3" t="s">
        <v>1260</v>
      </c>
      <c r="C202" s="3" t="n">
        <v>221047</v>
      </c>
      <c r="D202" s="3" t="s">
        <v>1269</v>
      </c>
      <c r="F202" s="3" t="s">
        <v>1262</v>
      </c>
      <c r="G202" s="3" t="s">
        <v>5</v>
      </c>
      <c r="H202" s="19"/>
      <c r="I202" s="19"/>
      <c r="J202" s="20"/>
      <c r="K202" s="20"/>
      <c r="L202" s="19"/>
      <c r="M202" s="19"/>
      <c r="N202" s="19"/>
      <c r="O202" s="20"/>
      <c r="P202" s="20"/>
    </row>
    <row r="203" customFormat="false" ht="14.25" hidden="false" customHeight="true" outlineLevel="0" collapsed="false">
      <c r="A203" s="3" t="s">
        <v>1259</v>
      </c>
      <c r="B203" s="3" t="s">
        <v>1260</v>
      </c>
      <c r="C203" s="3" t="n">
        <v>221047</v>
      </c>
      <c r="D203" s="3" t="s">
        <v>1343</v>
      </c>
      <c r="F203" s="3" t="s">
        <v>1262</v>
      </c>
      <c r="G203" s="3" t="s">
        <v>1275</v>
      </c>
      <c r="H203" s="19"/>
      <c r="I203" s="19"/>
      <c r="J203" s="20"/>
      <c r="K203" s="20"/>
      <c r="L203" s="19"/>
      <c r="M203" s="19"/>
      <c r="N203" s="19"/>
      <c r="O203" s="20"/>
      <c r="P203" s="20"/>
    </row>
    <row r="204" customFormat="false" ht="14.25" hidden="false" customHeight="true" outlineLevel="0" collapsed="false">
      <c r="A204" s="3" t="s">
        <v>1259</v>
      </c>
      <c r="B204" s="3" t="s">
        <v>1260</v>
      </c>
      <c r="C204" s="3" t="n">
        <v>221048</v>
      </c>
      <c r="D204" s="3" t="s">
        <v>1261</v>
      </c>
      <c r="E204" s="18" t="n">
        <v>44980</v>
      </c>
      <c r="F204" s="3" t="s">
        <v>1262</v>
      </c>
      <c r="G204" s="3" t="s">
        <v>5</v>
      </c>
      <c r="H204" s="19" t="n">
        <v>44980</v>
      </c>
      <c r="I204" s="19" t="n">
        <v>44796</v>
      </c>
      <c r="J204" s="20" t="n">
        <v>75</v>
      </c>
      <c r="K204" s="20" t="s">
        <v>1313</v>
      </c>
      <c r="L204" s="19" t="s">
        <v>12</v>
      </c>
      <c r="M204" s="19"/>
      <c r="N204" s="19"/>
      <c r="O204" s="20"/>
      <c r="P204" s="20"/>
    </row>
    <row r="205" customFormat="false" ht="14.25" hidden="false" customHeight="true" outlineLevel="0" collapsed="false">
      <c r="A205" s="3" t="s">
        <v>1259</v>
      </c>
      <c r="B205" s="3" t="s">
        <v>1260</v>
      </c>
      <c r="C205" s="3" t="n">
        <v>221048</v>
      </c>
      <c r="D205" s="3" t="s">
        <v>1264</v>
      </c>
      <c r="E205" s="18" t="n">
        <v>44998</v>
      </c>
      <c r="F205" s="3" t="s">
        <v>1262</v>
      </c>
      <c r="G205" s="3" t="s">
        <v>5</v>
      </c>
      <c r="H205" s="19"/>
      <c r="I205" s="19"/>
      <c r="J205" s="20"/>
      <c r="K205" s="20"/>
      <c r="L205" s="19"/>
      <c r="M205" s="19"/>
      <c r="N205" s="19"/>
      <c r="O205" s="20"/>
      <c r="P205" s="20"/>
    </row>
    <row r="206" customFormat="false" ht="14.25" hidden="false" customHeight="true" outlineLevel="0" collapsed="false">
      <c r="A206" s="3" t="s">
        <v>1259</v>
      </c>
      <c r="B206" s="3" t="s">
        <v>1260</v>
      </c>
      <c r="C206" s="3" t="n">
        <v>221048</v>
      </c>
      <c r="D206" s="3" t="s">
        <v>1265</v>
      </c>
      <c r="E206" s="18" t="n">
        <v>45000</v>
      </c>
      <c r="F206" s="3" t="s">
        <v>1262</v>
      </c>
      <c r="G206" s="3" t="s">
        <v>5</v>
      </c>
      <c r="H206" s="19"/>
      <c r="I206" s="19"/>
      <c r="J206" s="20"/>
      <c r="K206" s="20"/>
      <c r="L206" s="19"/>
      <c r="M206" s="19"/>
      <c r="N206" s="19"/>
      <c r="O206" s="20"/>
      <c r="P206" s="20"/>
    </row>
    <row r="207" customFormat="false" ht="14.25" hidden="false" customHeight="true" outlineLevel="0" collapsed="false">
      <c r="A207" s="3" t="s">
        <v>1259</v>
      </c>
      <c r="B207" s="3" t="s">
        <v>1260</v>
      </c>
      <c r="C207" s="3" t="n">
        <v>221048</v>
      </c>
      <c r="D207" s="3" t="s">
        <v>1266</v>
      </c>
      <c r="E207" s="18" t="n">
        <v>45005</v>
      </c>
      <c r="F207" s="3" t="s">
        <v>1262</v>
      </c>
      <c r="G207" s="3" t="s">
        <v>5</v>
      </c>
      <c r="H207" s="19"/>
      <c r="I207" s="19"/>
      <c r="J207" s="20"/>
      <c r="K207" s="20"/>
      <c r="L207" s="19"/>
      <c r="M207" s="19"/>
      <c r="N207" s="19"/>
      <c r="O207" s="20"/>
      <c r="P207" s="20"/>
    </row>
    <row r="208" customFormat="false" ht="14.25" hidden="false" customHeight="true" outlineLevel="0" collapsed="false">
      <c r="A208" s="3" t="s">
        <v>1259</v>
      </c>
      <c r="B208" s="3" t="s">
        <v>1260</v>
      </c>
      <c r="C208" s="3" t="n">
        <v>221048</v>
      </c>
      <c r="D208" s="3" t="s">
        <v>1269</v>
      </c>
      <c r="E208" s="18" t="n">
        <v>45012</v>
      </c>
      <c r="F208" s="3" t="s">
        <v>1262</v>
      </c>
      <c r="G208" s="3" t="s">
        <v>5</v>
      </c>
      <c r="H208" s="19"/>
      <c r="I208" s="19"/>
      <c r="J208" s="20"/>
      <c r="K208" s="20"/>
      <c r="L208" s="19"/>
      <c r="M208" s="19"/>
      <c r="N208" s="19"/>
      <c r="O208" s="20"/>
      <c r="P208" s="20"/>
    </row>
    <row r="209" customFormat="false" ht="14.25" hidden="false" customHeight="true" outlineLevel="0" collapsed="false">
      <c r="A209" s="3" t="s">
        <v>1259</v>
      </c>
      <c r="B209" s="3" t="s">
        <v>1260</v>
      </c>
      <c r="C209" s="3" t="n">
        <v>221048</v>
      </c>
      <c r="D209" s="3" t="s">
        <v>1270</v>
      </c>
      <c r="E209" s="18" t="n">
        <v>45019</v>
      </c>
      <c r="F209" s="3" t="s">
        <v>1262</v>
      </c>
      <c r="G209" s="3" t="s">
        <v>5</v>
      </c>
      <c r="H209" s="19"/>
      <c r="I209" s="19"/>
      <c r="J209" s="20"/>
      <c r="K209" s="20"/>
      <c r="L209" s="19"/>
      <c r="M209" s="19"/>
      <c r="N209" s="19"/>
      <c r="O209" s="20"/>
      <c r="P209" s="20"/>
    </row>
    <row r="210" customFormat="false" ht="14.25" hidden="false" customHeight="true" outlineLevel="0" collapsed="false">
      <c r="A210" s="3" t="s">
        <v>1259</v>
      </c>
      <c r="B210" s="3" t="s">
        <v>1260</v>
      </c>
      <c r="C210" s="3" t="n">
        <v>221048</v>
      </c>
      <c r="D210" s="3" t="s">
        <v>1271</v>
      </c>
      <c r="E210" s="18" t="n">
        <v>45026</v>
      </c>
      <c r="F210" s="3" t="s">
        <v>1262</v>
      </c>
      <c r="G210" s="3" t="s">
        <v>5</v>
      </c>
      <c r="H210" s="19"/>
      <c r="I210" s="19"/>
      <c r="J210" s="20"/>
      <c r="K210" s="20"/>
      <c r="L210" s="19"/>
      <c r="M210" s="19"/>
      <c r="N210" s="19"/>
      <c r="O210" s="20"/>
      <c r="P210" s="20"/>
    </row>
    <row r="211" customFormat="false" ht="14.25" hidden="false" customHeight="true" outlineLevel="0" collapsed="false">
      <c r="A211" s="3" t="s">
        <v>1259</v>
      </c>
      <c r="B211" s="3" t="s">
        <v>1260</v>
      </c>
      <c r="C211" s="3" t="n">
        <v>221048</v>
      </c>
      <c r="D211" s="3" t="s">
        <v>1272</v>
      </c>
      <c r="E211" s="18" t="n">
        <v>45028</v>
      </c>
      <c r="F211" s="3" t="s">
        <v>1262</v>
      </c>
      <c r="G211" s="3" t="s">
        <v>5</v>
      </c>
      <c r="H211" s="19"/>
      <c r="I211" s="19"/>
      <c r="J211" s="20"/>
      <c r="K211" s="20"/>
      <c r="L211" s="19"/>
      <c r="M211" s="19"/>
      <c r="N211" s="19"/>
      <c r="O211" s="20"/>
      <c r="P211" s="20"/>
    </row>
    <row r="212" customFormat="false" ht="14.25" hidden="false" customHeight="true" outlineLevel="0" collapsed="false">
      <c r="A212" s="3" t="s">
        <v>1259</v>
      </c>
      <c r="B212" s="3" t="s">
        <v>1260</v>
      </c>
      <c r="C212" s="3" t="n">
        <v>221048</v>
      </c>
      <c r="D212" s="3" t="s">
        <v>1273</v>
      </c>
      <c r="E212" s="18" t="n">
        <v>45040</v>
      </c>
      <c r="F212" s="3" t="s">
        <v>1262</v>
      </c>
      <c r="G212" s="3" t="s">
        <v>5</v>
      </c>
      <c r="H212" s="19"/>
      <c r="I212" s="19"/>
      <c r="J212" s="20"/>
      <c r="K212" s="20"/>
      <c r="L212" s="19"/>
      <c r="M212" s="19"/>
      <c r="N212" s="19"/>
      <c r="O212" s="20"/>
      <c r="P212" s="20"/>
    </row>
    <row r="213" customFormat="false" ht="14.25" hidden="false" customHeight="true" outlineLevel="0" collapsed="false">
      <c r="A213" s="3" t="s">
        <v>1259</v>
      </c>
      <c r="B213" s="3" t="s">
        <v>1260</v>
      </c>
      <c r="C213" s="3" t="n">
        <v>221048</v>
      </c>
      <c r="D213" s="3" t="s">
        <v>1344</v>
      </c>
      <c r="E213" s="18" t="n">
        <v>45049</v>
      </c>
      <c r="F213" s="3" t="s">
        <v>1262</v>
      </c>
      <c r="G213" s="3" t="s">
        <v>1268</v>
      </c>
      <c r="H213" s="19"/>
      <c r="I213" s="19"/>
      <c r="J213" s="20"/>
      <c r="K213" s="20"/>
      <c r="L213" s="19"/>
      <c r="M213" s="19"/>
      <c r="N213" s="19"/>
      <c r="O213" s="20"/>
      <c r="P213" s="20"/>
    </row>
    <row r="214" customFormat="false" ht="14.25" hidden="false" customHeight="true" outlineLevel="0" collapsed="false">
      <c r="A214" s="3" t="s">
        <v>1259</v>
      </c>
      <c r="B214" s="3" t="s">
        <v>1260</v>
      </c>
      <c r="C214" s="3" t="n">
        <v>221048</v>
      </c>
      <c r="D214" s="3" t="s">
        <v>1276</v>
      </c>
      <c r="E214" s="18" t="n">
        <v>45054</v>
      </c>
      <c r="F214" s="3" t="s">
        <v>1262</v>
      </c>
      <c r="G214" s="3" t="s">
        <v>5</v>
      </c>
      <c r="H214" s="19"/>
      <c r="I214" s="19"/>
      <c r="J214" s="20"/>
      <c r="K214" s="20"/>
      <c r="L214" s="19"/>
      <c r="M214" s="19"/>
      <c r="N214" s="19"/>
      <c r="O214" s="20"/>
      <c r="P214" s="20"/>
    </row>
    <row r="215" customFormat="false" ht="14.25" hidden="false" customHeight="true" outlineLevel="0" collapsed="false">
      <c r="A215" s="3" t="s">
        <v>1259</v>
      </c>
      <c r="B215" s="3" t="s">
        <v>1260</v>
      </c>
      <c r="C215" s="3" t="n">
        <v>221048</v>
      </c>
      <c r="D215" s="3" t="s">
        <v>1343</v>
      </c>
      <c r="E215" s="18" t="n">
        <v>45055</v>
      </c>
      <c r="F215" s="3" t="s">
        <v>1262</v>
      </c>
      <c r="G215" s="3" t="s">
        <v>1275</v>
      </c>
      <c r="H215" s="19"/>
      <c r="I215" s="19"/>
      <c r="J215" s="20"/>
      <c r="K215" s="20"/>
      <c r="L215" s="19"/>
      <c r="M215" s="19"/>
      <c r="N215" s="19"/>
      <c r="O215" s="20"/>
      <c r="P215" s="20"/>
    </row>
    <row r="216" customFormat="false" ht="14.25" hidden="false" customHeight="true" outlineLevel="0" collapsed="false">
      <c r="A216" s="3" t="s">
        <v>1259</v>
      </c>
      <c r="B216" s="3" t="s">
        <v>1260</v>
      </c>
      <c r="C216" s="3" t="n">
        <v>221048</v>
      </c>
      <c r="D216" s="3" t="s">
        <v>1277</v>
      </c>
      <c r="E216" s="18" t="n">
        <v>45068</v>
      </c>
      <c r="F216" s="3" t="s">
        <v>1262</v>
      </c>
      <c r="G216" s="3" t="s">
        <v>5</v>
      </c>
      <c r="H216" s="19"/>
      <c r="I216" s="19"/>
      <c r="J216" s="20"/>
      <c r="K216" s="20"/>
      <c r="L216" s="19"/>
      <c r="M216" s="19"/>
      <c r="N216" s="19"/>
      <c r="O216" s="20"/>
      <c r="P216" s="20"/>
    </row>
    <row r="217" customFormat="false" ht="14.25" hidden="false" customHeight="true" outlineLevel="0" collapsed="false">
      <c r="A217" s="3" t="s">
        <v>1259</v>
      </c>
      <c r="B217" s="3" t="s">
        <v>1260</v>
      </c>
      <c r="C217" s="3" t="n">
        <v>221048</v>
      </c>
      <c r="D217" s="3" t="s">
        <v>1278</v>
      </c>
      <c r="E217" s="18" t="n">
        <v>45085</v>
      </c>
      <c r="F217" s="3" t="s">
        <v>1262</v>
      </c>
      <c r="G217" s="3" t="s">
        <v>5</v>
      </c>
      <c r="H217" s="19"/>
      <c r="I217" s="19"/>
      <c r="J217" s="20"/>
      <c r="K217" s="20"/>
      <c r="L217" s="19"/>
      <c r="M217" s="19"/>
      <c r="N217" s="19"/>
      <c r="O217" s="20"/>
      <c r="P217" s="20"/>
    </row>
    <row r="218" customFormat="false" ht="14.25" hidden="false" customHeight="true" outlineLevel="0" collapsed="false">
      <c r="A218" s="3" t="s">
        <v>1259</v>
      </c>
      <c r="B218" s="3" t="s">
        <v>1260</v>
      </c>
      <c r="C218" s="3" t="n">
        <v>221048</v>
      </c>
      <c r="D218" s="3" t="s">
        <v>1345</v>
      </c>
      <c r="E218" s="18" t="n">
        <v>45089</v>
      </c>
      <c r="F218" s="3" t="s">
        <v>1262</v>
      </c>
      <c r="G218" s="3" t="s">
        <v>1268</v>
      </c>
      <c r="H218" s="19"/>
      <c r="I218" s="19"/>
      <c r="J218" s="20"/>
      <c r="K218" s="20"/>
      <c r="L218" s="19"/>
      <c r="M218" s="19"/>
      <c r="N218" s="19"/>
      <c r="O218" s="20"/>
      <c r="P218" s="20"/>
    </row>
    <row r="219" customFormat="false" ht="14.25" hidden="false" customHeight="true" outlineLevel="0" collapsed="false">
      <c r="A219" s="3" t="s">
        <v>1259</v>
      </c>
      <c r="B219" s="3" t="s">
        <v>1260</v>
      </c>
      <c r="C219" s="3" t="n">
        <v>221048</v>
      </c>
      <c r="D219" s="3" t="s">
        <v>1279</v>
      </c>
      <c r="E219" s="18" t="n">
        <v>45096</v>
      </c>
      <c r="F219" s="3" t="s">
        <v>1262</v>
      </c>
      <c r="G219" s="3" t="s">
        <v>5</v>
      </c>
      <c r="H219" s="19"/>
      <c r="I219" s="19"/>
      <c r="J219" s="20"/>
      <c r="K219" s="20"/>
      <c r="L219" s="19"/>
      <c r="M219" s="19"/>
      <c r="N219" s="19"/>
      <c r="O219" s="20"/>
      <c r="P219" s="20"/>
    </row>
    <row r="220" customFormat="false" ht="14.25" hidden="false" customHeight="true" outlineLevel="0" collapsed="false">
      <c r="A220" s="3" t="s">
        <v>1259</v>
      </c>
      <c r="B220" s="3" t="s">
        <v>1260</v>
      </c>
      <c r="C220" s="3" t="n">
        <v>221048</v>
      </c>
      <c r="D220" s="3" t="s">
        <v>1346</v>
      </c>
      <c r="E220" s="18" t="n">
        <v>45103</v>
      </c>
      <c r="F220" s="3" t="s">
        <v>1262</v>
      </c>
      <c r="G220" s="3" t="s">
        <v>1268</v>
      </c>
      <c r="H220" s="19"/>
      <c r="I220" s="19"/>
      <c r="J220" s="20"/>
      <c r="K220" s="20"/>
      <c r="L220" s="19"/>
      <c r="M220" s="19"/>
      <c r="N220" s="19"/>
      <c r="O220" s="20"/>
      <c r="P220" s="20"/>
    </row>
    <row r="221" customFormat="false" ht="14.25" hidden="false" customHeight="true" outlineLevel="0" collapsed="false">
      <c r="A221" s="3" t="s">
        <v>1259</v>
      </c>
      <c r="B221" s="3" t="s">
        <v>1260</v>
      </c>
      <c r="C221" s="3" t="n">
        <v>221048</v>
      </c>
      <c r="D221" s="3" t="s">
        <v>1281</v>
      </c>
      <c r="E221" s="18" t="n">
        <v>45110</v>
      </c>
      <c r="F221" s="3" t="s">
        <v>1262</v>
      </c>
      <c r="G221" s="3" t="s">
        <v>5</v>
      </c>
      <c r="H221" s="19"/>
      <c r="I221" s="19"/>
      <c r="J221" s="20"/>
      <c r="K221" s="20"/>
      <c r="L221" s="19"/>
      <c r="M221" s="19"/>
      <c r="N221" s="19"/>
      <c r="O221" s="20"/>
      <c r="P221" s="20"/>
    </row>
    <row r="222" customFormat="false" ht="14.25" hidden="false" customHeight="true" outlineLevel="0" collapsed="false">
      <c r="A222" s="3" t="s">
        <v>1259</v>
      </c>
      <c r="B222" s="3" t="s">
        <v>1260</v>
      </c>
      <c r="C222" s="3" t="n">
        <v>221048</v>
      </c>
      <c r="D222" s="3" t="s">
        <v>1347</v>
      </c>
      <c r="E222" s="18" t="n">
        <v>45110</v>
      </c>
      <c r="F222" s="3" t="s">
        <v>1262</v>
      </c>
      <c r="G222" s="3" t="s">
        <v>1275</v>
      </c>
      <c r="H222" s="19"/>
      <c r="I222" s="19"/>
      <c r="J222" s="20"/>
      <c r="K222" s="20"/>
      <c r="L222" s="19"/>
      <c r="M222" s="19"/>
      <c r="N222" s="19"/>
      <c r="O222" s="20"/>
      <c r="P222" s="20"/>
    </row>
    <row r="223" customFormat="false" ht="14.25" hidden="false" customHeight="true" outlineLevel="0" collapsed="false">
      <c r="A223" s="3" t="s">
        <v>1259</v>
      </c>
      <c r="B223" s="3" t="s">
        <v>1260</v>
      </c>
      <c r="C223" s="3" t="n">
        <v>221048</v>
      </c>
      <c r="D223" s="3" t="s">
        <v>1348</v>
      </c>
      <c r="E223" s="18" t="n">
        <v>45112</v>
      </c>
      <c r="F223" s="3" t="s">
        <v>1262</v>
      </c>
      <c r="G223" s="3" t="s">
        <v>1268</v>
      </c>
      <c r="H223" s="19"/>
      <c r="I223" s="19"/>
      <c r="J223" s="20"/>
      <c r="K223" s="20"/>
      <c r="L223" s="19"/>
      <c r="M223" s="19"/>
      <c r="N223" s="19"/>
      <c r="O223" s="20"/>
      <c r="P223" s="20"/>
    </row>
    <row r="224" customFormat="false" ht="14.25" hidden="false" customHeight="true" outlineLevel="0" collapsed="false">
      <c r="A224" s="3" t="s">
        <v>1259</v>
      </c>
      <c r="B224" s="3" t="s">
        <v>1260</v>
      </c>
      <c r="C224" s="3" t="n">
        <v>221048</v>
      </c>
      <c r="D224" s="3" t="s">
        <v>1282</v>
      </c>
      <c r="E224" s="18" t="n">
        <v>45124</v>
      </c>
      <c r="F224" s="3" t="s">
        <v>1262</v>
      </c>
      <c r="G224" s="3" t="s">
        <v>5</v>
      </c>
      <c r="H224" s="19"/>
      <c r="I224" s="19"/>
      <c r="J224" s="20"/>
      <c r="K224" s="20"/>
      <c r="L224" s="19"/>
      <c r="M224" s="19"/>
      <c r="N224" s="19"/>
      <c r="O224" s="20"/>
      <c r="P224" s="20"/>
    </row>
    <row r="225" customFormat="false" ht="14.25" hidden="false" customHeight="true" outlineLevel="0" collapsed="false">
      <c r="A225" s="3" t="s">
        <v>1259</v>
      </c>
      <c r="B225" s="3" t="s">
        <v>1260</v>
      </c>
      <c r="C225" s="3" t="n">
        <v>221048</v>
      </c>
      <c r="D225" s="3" t="s">
        <v>1283</v>
      </c>
      <c r="E225" s="18" t="n">
        <v>45138</v>
      </c>
      <c r="F225" s="3" t="s">
        <v>1262</v>
      </c>
      <c r="G225" s="3" t="s">
        <v>5</v>
      </c>
      <c r="H225" s="19"/>
      <c r="I225" s="19"/>
      <c r="J225" s="20"/>
      <c r="K225" s="20"/>
      <c r="L225" s="19"/>
      <c r="M225" s="19"/>
      <c r="N225" s="19"/>
      <c r="O225" s="20"/>
      <c r="P225" s="20"/>
    </row>
    <row r="226" customFormat="false" ht="14.25" hidden="false" customHeight="true" outlineLevel="0" collapsed="false">
      <c r="A226" s="3" t="s">
        <v>1259</v>
      </c>
      <c r="B226" s="3" t="s">
        <v>1260</v>
      </c>
      <c r="C226" s="3" t="n">
        <v>221048</v>
      </c>
      <c r="D226" s="3" t="s">
        <v>1284</v>
      </c>
      <c r="E226" s="18" t="n">
        <v>45154</v>
      </c>
      <c r="F226" s="3" t="s">
        <v>1262</v>
      </c>
      <c r="G226" s="3" t="s">
        <v>5</v>
      </c>
      <c r="H226" s="19"/>
      <c r="I226" s="19"/>
      <c r="J226" s="20"/>
      <c r="K226" s="20"/>
      <c r="L226" s="19"/>
      <c r="M226" s="19"/>
      <c r="N226" s="19"/>
      <c r="O226" s="20"/>
      <c r="P226" s="20"/>
    </row>
    <row r="227" customFormat="false" ht="14.25" hidden="false" customHeight="true" outlineLevel="0" collapsed="false">
      <c r="A227" s="3" t="s">
        <v>1259</v>
      </c>
      <c r="B227" s="3" t="s">
        <v>1260</v>
      </c>
      <c r="C227" s="3" t="n">
        <v>221048</v>
      </c>
      <c r="D227" s="3" t="s">
        <v>1286</v>
      </c>
      <c r="E227" s="18" t="n">
        <v>45166</v>
      </c>
      <c r="F227" s="3" t="s">
        <v>1262</v>
      </c>
      <c r="G227" s="3" t="s">
        <v>5</v>
      </c>
      <c r="H227" s="19"/>
      <c r="I227" s="19"/>
      <c r="J227" s="20"/>
      <c r="K227" s="20"/>
      <c r="L227" s="19"/>
      <c r="M227" s="19"/>
      <c r="N227" s="19"/>
      <c r="O227" s="20"/>
      <c r="P227" s="20"/>
    </row>
    <row r="228" customFormat="false" ht="14.25" hidden="false" customHeight="true" outlineLevel="0" collapsed="false">
      <c r="A228" s="3" t="s">
        <v>1259</v>
      </c>
      <c r="B228" s="3" t="s">
        <v>1260</v>
      </c>
      <c r="C228" s="3" t="n">
        <v>221048</v>
      </c>
      <c r="D228" s="3" t="s">
        <v>1349</v>
      </c>
      <c r="E228" s="18" t="n">
        <v>45166</v>
      </c>
      <c r="F228" s="3" t="s">
        <v>1262</v>
      </c>
      <c r="G228" s="3" t="s">
        <v>1275</v>
      </c>
      <c r="H228" s="19"/>
      <c r="I228" s="19"/>
      <c r="J228" s="20"/>
      <c r="K228" s="20"/>
      <c r="L228" s="19"/>
      <c r="M228" s="19"/>
      <c r="N228" s="19"/>
      <c r="O228" s="20"/>
      <c r="P228" s="20"/>
    </row>
    <row r="229" customFormat="false" ht="14.25" hidden="false" customHeight="true" outlineLevel="0" collapsed="false">
      <c r="A229" s="3" t="s">
        <v>1259</v>
      </c>
      <c r="B229" s="3" t="s">
        <v>1260</v>
      </c>
      <c r="C229" s="3" t="n">
        <v>221048</v>
      </c>
      <c r="D229" s="3" t="s">
        <v>1287</v>
      </c>
      <c r="E229" s="18" t="n">
        <v>45180</v>
      </c>
      <c r="F229" s="3" t="s">
        <v>1262</v>
      </c>
      <c r="G229" s="3" t="s">
        <v>5</v>
      </c>
      <c r="H229" s="19"/>
      <c r="I229" s="19"/>
      <c r="J229" s="20"/>
      <c r="K229" s="20"/>
      <c r="L229" s="19"/>
      <c r="M229" s="19"/>
      <c r="N229" s="19"/>
      <c r="O229" s="20"/>
      <c r="P229" s="20"/>
    </row>
    <row r="230" customFormat="false" ht="14.25" hidden="false" customHeight="true" outlineLevel="0" collapsed="false">
      <c r="A230" s="3" t="s">
        <v>1259</v>
      </c>
      <c r="B230" s="3" t="s">
        <v>1260</v>
      </c>
      <c r="C230" s="3" t="n">
        <v>221048</v>
      </c>
      <c r="D230" s="3" t="s">
        <v>1288</v>
      </c>
      <c r="E230" s="18" t="n">
        <v>45194</v>
      </c>
      <c r="F230" s="3" t="s">
        <v>1262</v>
      </c>
      <c r="G230" s="3" t="s">
        <v>5</v>
      </c>
      <c r="H230" s="19"/>
      <c r="I230" s="19"/>
      <c r="J230" s="20"/>
      <c r="K230" s="20"/>
      <c r="L230" s="19"/>
      <c r="M230" s="19"/>
      <c r="N230" s="19"/>
      <c r="O230" s="20"/>
      <c r="P230" s="20"/>
    </row>
    <row r="231" customFormat="false" ht="14.25" hidden="false" customHeight="true" outlineLevel="0" collapsed="false">
      <c r="A231" s="3" t="s">
        <v>1259</v>
      </c>
      <c r="B231" s="3" t="s">
        <v>1260</v>
      </c>
      <c r="C231" s="3" t="n">
        <v>221048</v>
      </c>
      <c r="D231" s="3" t="s">
        <v>1289</v>
      </c>
      <c r="E231" s="18" t="n">
        <v>45210</v>
      </c>
      <c r="F231" s="3" t="s">
        <v>1262</v>
      </c>
      <c r="G231" s="3" t="s">
        <v>5</v>
      </c>
      <c r="H231" s="19"/>
      <c r="I231" s="19"/>
      <c r="J231" s="20"/>
      <c r="K231" s="20"/>
      <c r="L231" s="19"/>
      <c r="M231" s="19"/>
      <c r="N231" s="19"/>
      <c r="O231" s="20"/>
      <c r="P231" s="20"/>
    </row>
    <row r="232" customFormat="false" ht="14.25" hidden="false" customHeight="true" outlineLevel="0" collapsed="false">
      <c r="A232" s="3" t="s">
        <v>1259</v>
      </c>
      <c r="B232" s="3" t="s">
        <v>1260</v>
      </c>
      <c r="C232" s="3" t="n">
        <v>221048</v>
      </c>
      <c r="D232" s="3" t="s">
        <v>1290</v>
      </c>
      <c r="E232" s="18" t="n">
        <v>45222</v>
      </c>
      <c r="F232" s="3" t="s">
        <v>1262</v>
      </c>
      <c r="G232" s="3" t="s">
        <v>5</v>
      </c>
      <c r="H232" s="19"/>
      <c r="I232" s="19"/>
      <c r="J232" s="20"/>
      <c r="K232" s="20"/>
      <c r="L232" s="19"/>
      <c r="M232" s="19"/>
      <c r="N232" s="19"/>
      <c r="O232" s="20"/>
      <c r="P232" s="20"/>
    </row>
    <row r="233" customFormat="false" ht="14.25" hidden="false" customHeight="true" outlineLevel="0" collapsed="false">
      <c r="A233" s="3" t="s">
        <v>1259</v>
      </c>
      <c r="B233" s="3" t="s">
        <v>1260</v>
      </c>
      <c r="C233" s="3" t="n">
        <v>221048</v>
      </c>
      <c r="D233" s="3" t="s">
        <v>1350</v>
      </c>
      <c r="E233" s="18" t="n">
        <v>45222</v>
      </c>
      <c r="F233" s="3" t="s">
        <v>1262</v>
      </c>
      <c r="G233" s="3" t="s">
        <v>1275</v>
      </c>
      <c r="H233" s="19"/>
      <c r="I233" s="19"/>
      <c r="J233" s="20"/>
      <c r="K233" s="20"/>
      <c r="L233" s="19"/>
      <c r="M233" s="19"/>
      <c r="N233" s="19"/>
      <c r="O233" s="20"/>
      <c r="P233" s="20"/>
    </row>
    <row r="234" customFormat="false" ht="14.25" hidden="false" customHeight="true" outlineLevel="0" collapsed="false">
      <c r="A234" s="3" t="s">
        <v>1259</v>
      </c>
      <c r="B234" s="3" t="s">
        <v>1260</v>
      </c>
      <c r="C234" s="3" t="n">
        <v>221048</v>
      </c>
      <c r="D234" s="3" t="s">
        <v>1292</v>
      </c>
      <c r="E234" s="18" t="n">
        <v>45236</v>
      </c>
      <c r="F234" s="3" t="s">
        <v>1262</v>
      </c>
      <c r="G234" s="3" t="s">
        <v>5</v>
      </c>
      <c r="H234" s="19"/>
      <c r="I234" s="19"/>
      <c r="J234" s="20"/>
      <c r="K234" s="20"/>
      <c r="L234" s="19"/>
      <c r="M234" s="19"/>
      <c r="N234" s="19"/>
      <c r="O234" s="20"/>
      <c r="P234" s="20"/>
    </row>
    <row r="235" customFormat="false" ht="14.25" hidden="false" customHeight="true" outlineLevel="0" collapsed="false">
      <c r="A235" s="3" t="s">
        <v>1259</v>
      </c>
      <c r="B235" s="3" t="s">
        <v>1260</v>
      </c>
      <c r="C235" s="3" t="n">
        <v>221048</v>
      </c>
      <c r="D235" s="3" t="s">
        <v>1293</v>
      </c>
      <c r="E235" s="18" t="n">
        <v>45250</v>
      </c>
      <c r="F235" s="3" t="s">
        <v>1262</v>
      </c>
      <c r="G235" s="3" t="s">
        <v>5</v>
      </c>
      <c r="H235" s="19"/>
      <c r="I235" s="19"/>
      <c r="J235" s="20"/>
      <c r="K235" s="20"/>
      <c r="L235" s="19"/>
      <c r="M235" s="19"/>
      <c r="N235" s="19"/>
      <c r="O235" s="20"/>
      <c r="P235" s="20"/>
    </row>
    <row r="236" customFormat="false" ht="14.25" hidden="false" customHeight="true" outlineLevel="0" collapsed="false">
      <c r="A236" s="3" t="s">
        <v>1259</v>
      </c>
      <c r="B236" s="3" t="s">
        <v>1260</v>
      </c>
      <c r="C236" s="3" t="n">
        <v>221048</v>
      </c>
      <c r="D236" s="3" t="s">
        <v>1294</v>
      </c>
      <c r="E236" s="18" t="n">
        <v>45264</v>
      </c>
      <c r="F236" s="3" t="s">
        <v>1262</v>
      </c>
      <c r="G236" s="3" t="s">
        <v>5</v>
      </c>
      <c r="H236" s="19"/>
      <c r="I236" s="19"/>
      <c r="J236" s="20"/>
      <c r="K236" s="20"/>
      <c r="L236" s="19"/>
      <c r="M236" s="19"/>
      <c r="N236" s="19"/>
      <c r="O236" s="20"/>
      <c r="P236" s="20"/>
    </row>
    <row r="237" customFormat="false" ht="14.25" hidden="false" customHeight="true" outlineLevel="0" collapsed="false">
      <c r="A237" s="3" t="s">
        <v>1259</v>
      </c>
      <c r="B237" s="3" t="s">
        <v>1260</v>
      </c>
      <c r="C237" s="3" t="n">
        <v>221048</v>
      </c>
      <c r="D237" s="3" t="s">
        <v>1295</v>
      </c>
      <c r="E237" s="18" t="n">
        <v>45278</v>
      </c>
      <c r="F237" s="3" t="s">
        <v>1262</v>
      </c>
      <c r="G237" s="3" t="s">
        <v>5</v>
      </c>
      <c r="H237" s="19"/>
      <c r="I237" s="19"/>
      <c r="J237" s="20"/>
      <c r="K237" s="20"/>
      <c r="L237" s="19"/>
      <c r="M237" s="19"/>
      <c r="N237" s="19"/>
      <c r="O237" s="20"/>
      <c r="P237" s="20"/>
    </row>
    <row r="238" customFormat="false" ht="14.25" hidden="false" customHeight="true" outlineLevel="0" collapsed="false">
      <c r="A238" s="3" t="s">
        <v>1259</v>
      </c>
      <c r="B238" s="3" t="s">
        <v>1260</v>
      </c>
      <c r="C238" s="3" t="n">
        <v>221048</v>
      </c>
      <c r="D238" s="3" t="s">
        <v>1351</v>
      </c>
      <c r="E238" s="18" t="n">
        <v>45278</v>
      </c>
      <c r="F238" s="3" t="s">
        <v>1262</v>
      </c>
      <c r="G238" s="3" t="s">
        <v>1275</v>
      </c>
      <c r="H238" s="19"/>
      <c r="I238" s="19"/>
      <c r="J238" s="20"/>
      <c r="K238" s="20"/>
      <c r="L238" s="19"/>
      <c r="M238" s="19"/>
      <c r="N238" s="19"/>
      <c r="O238" s="20"/>
      <c r="P238" s="20"/>
    </row>
    <row r="239" customFormat="false" ht="14.25" hidden="false" customHeight="true" outlineLevel="0" collapsed="false">
      <c r="A239" s="3" t="s">
        <v>1259</v>
      </c>
      <c r="B239" s="3" t="s">
        <v>1260</v>
      </c>
      <c r="C239" s="3" t="n">
        <v>221048</v>
      </c>
      <c r="D239" s="3" t="s">
        <v>1297</v>
      </c>
      <c r="E239" s="18" t="n">
        <v>45294</v>
      </c>
      <c r="F239" s="3" t="s">
        <v>1262</v>
      </c>
      <c r="G239" s="3" t="s">
        <v>5</v>
      </c>
      <c r="H239" s="19"/>
      <c r="I239" s="19"/>
      <c r="J239" s="20"/>
      <c r="K239" s="20"/>
      <c r="L239" s="19"/>
      <c r="M239" s="19"/>
      <c r="N239" s="19"/>
      <c r="O239" s="20"/>
      <c r="P239" s="20"/>
    </row>
    <row r="240" customFormat="false" ht="14.25" hidden="false" customHeight="true" outlineLevel="0" collapsed="false">
      <c r="A240" s="3" t="s">
        <v>1259</v>
      </c>
      <c r="B240" s="3" t="s">
        <v>1260</v>
      </c>
      <c r="C240" s="3" t="n">
        <v>221048</v>
      </c>
      <c r="D240" s="3" t="s">
        <v>1298</v>
      </c>
      <c r="E240" s="18" t="n">
        <v>45308</v>
      </c>
      <c r="F240" s="3" t="s">
        <v>1262</v>
      </c>
      <c r="G240" s="3" t="s">
        <v>5</v>
      </c>
      <c r="H240" s="19"/>
      <c r="I240" s="19"/>
      <c r="J240" s="20"/>
      <c r="K240" s="20"/>
      <c r="L240" s="19"/>
      <c r="M240" s="19"/>
      <c r="N240" s="19"/>
      <c r="O240" s="20"/>
      <c r="P240" s="20"/>
    </row>
    <row r="241" customFormat="false" ht="14.25" hidden="false" customHeight="true" outlineLevel="0" collapsed="false">
      <c r="A241" s="3" t="s">
        <v>1259</v>
      </c>
      <c r="B241" s="3" t="s">
        <v>1260</v>
      </c>
      <c r="C241" s="3" t="n">
        <v>221048</v>
      </c>
      <c r="D241" s="3" t="s">
        <v>1299</v>
      </c>
      <c r="E241" s="18" t="n">
        <v>45322</v>
      </c>
      <c r="F241" s="3" t="s">
        <v>1262</v>
      </c>
      <c r="G241" s="3" t="s">
        <v>5</v>
      </c>
      <c r="H241" s="19"/>
      <c r="I241" s="19"/>
      <c r="J241" s="20"/>
      <c r="K241" s="20"/>
      <c r="L241" s="19"/>
      <c r="M241" s="19"/>
      <c r="N241" s="19"/>
      <c r="O241" s="20"/>
      <c r="P241" s="20"/>
    </row>
    <row r="242" customFormat="false" ht="14.25" hidden="false" customHeight="true" outlineLevel="0" collapsed="false">
      <c r="A242" s="3" t="s">
        <v>1259</v>
      </c>
      <c r="B242" s="3" t="s">
        <v>1260</v>
      </c>
      <c r="C242" s="3" t="n">
        <v>221048</v>
      </c>
      <c r="D242" s="3" t="s">
        <v>1300</v>
      </c>
      <c r="E242" s="18" t="n">
        <v>45336</v>
      </c>
      <c r="F242" s="3" t="s">
        <v>1262</v>
      </c>
      <c r="G242" s="3" t="s">
        <v>5</v>
      </c>
      <c r="H242" s="19"/>
      <c r="I242" s="19"/>
      <c r="J242" s="20"/>
      <c r="K242" s="20"/>
      <c r="L242" s="19"/>
      <c r="M242" s="19"/>
      <c r="N242" s="19"/>
      <c r="O242" s="20"/>
      <c r="P242" s="20"/>
    </row>
    <row r="243" customFormat="false" ht="14.25" hidden="false" customHeight="true" outlineLevel="0" collapsed="false">
      <c r="A243" s="3" t="s">
        <v>1259</v>
      </c>
      <c r="B243" s="3" t="s">
        <v>1260</v>
      </c>
      <c r="C243" s="3" t="n">
        <v>221048</v>
      </c>
      <c r="D243" s="3" t="s">
        <v>1352</v>
      </c>
      <c r="E243" s="18" t="n">
        <v>45336</v>
      </c>
      <c r="F243" s="3" t="s">
        <v>1262</v>
      </c>
      <c r="G243" s="3" t="s">
        <v>1275</v>
      </c>
      <c r="H243" s="19"/>
      <c r="I243" s="19"/>
      <c r="J243" s="20"/>
      <c r="K243" s="20"/>
      <c r="L243" s="19"/>
      <c r="M243" s="19"/>
      <c r="N243" s="19"/>
      <c r="O243" s="20"/>
      <c r="P243" s="20"/>
    </row>
    <row r="244" customFormat="false" ht="14.25" hidden="false" customHeight="true" outlineLevel="0" collapsed="false">
      <c r="A244" s="3" t="s">
        <v>1259</v>
      </c>
      <c r="B244" s="3" t="s">
        <v>1260</v>
      </c>
      <c r="C244" s="3" t="n">
        <v>221048</v>
      </c>
      <c r="D244" s="3" t="s">
        <v>1302</v>
      </c>
      <c r="E244" s="18" t="n">
        <v>45350</v>
      </c>
      <c r="F244" s="3" t="s">
        <v>1262</v>
      </c>
      <c r="G244" s="3" t="s">
        <v>5</v>
      </c>
      <c r="H244" s="19"/>
      <c r="I244" s="19"/>
      <c r="J244" s="20"/>
      <c r="K244" s="20"/>
      <c r="L244" s="19"/>
      <c r="M244" s="19"/>
      <c r="N244" s="19"/>
      <c r="O244" s="20"/>
      <c r="P244" s="20"/>
    </row>
    <row r="245" customFormat="false" ht="14.25" hidden="false" customHeight="true" outlineLevel="0" collapsed="false">
      <c r="A245" s="3" t="s">
        <v>1259</v>
      </c>
      <c r="B245" s="3" t="s">
        <v>1260</v>
      </c>
      <c r="C245" s="3" t="n">
        <v>221048</v>
      </c>
      <c r="D245" s="3" t="s">
        <v>1303</v>
      </c>
      <c r="E245" s="18" t="n">
        <v>45364</v>
      </c>
      <c r="F245" s="3" t="s">
        <v>1262</v>
      </c>
      <c r="G245" s="3" t="s">
        <v>5</v>
      </c>
      <c r="H245" s="19"/>
      <c r="I245" s="19"/>
      <c r="J245" s="20"/>
      <c r="K245" s="20"/>
      <c r="L245" s="19"/>
      <c r="M245" s="19"/>
      <c r="N245" s="19"/>
      <c r="O245" s="20"/>
      <c r="P245" s="20"/>
    </row>
    <row r="246" customFormat="false" ht="14.25" hidden="false" customHeight="true" outlineLevel="0" collapsed="false">
      <c r="A246" s="3" t="s">
        <v>1259</v>
      </c>
      <c r="B246" s="3" t="s">
        <v>1260</v>
      </c>
      <c r="C246" s="3" t="n">
        <v>221048</v>
      </c>
      <c r="D246" s="3" t="s">
        <v>1304</v>
      </c>
      <c r="E246" s="18" t="n">
        <v>45378</v>
      </c>
      <c r="F246" s="3" t="s">
        <v>1262</v>
      </c>
      <c r="G246" s="3" t="s">
        <v>5</v>
      </c>
      <c r="H246" s="19"/>
      <c r="I246" s="19"/>
      <c r="J246" s="20"/>
      <c r="K246" s="20"/>
      <c r="L246" s="19"/>
      <c r="M246" s="19"/>
      <c r="N246" s="19"/>
      <c r="O246" s="20"/>
      <c r="P246" s="20"/>
    </row>
    <row r="247" customFormat="false" ht="14.25" hidden="false" customHeight="true" outlineLevel="0" collapsed="false">
      <c r="A247" s="3" t="s">
        <v>1259</v>
      </c>
      <c r="B247" s="3" t="s">
        <v>1260</v>
      </c>
      <c r="C247" s="3" t="n">
        <v>221048</v>
      </c>
      <c r="D247" s="3" t="s">
        <v>1353</v>
      </c>
      <c r="E247" s="18" t="n">
        <v>45390</v>
      </c>
      <c r="F247" s="3" t="s">
        <v>1262</v>
      </c>
      <c r="G247" s="3" t="s">
        <v>1275</v>
      </c>
      <c r="H247" s="19"/>
      <c r="I247" s="19"/>
      <c r="J247" s="20"/>
      <c r="K247" s="20"/>
      <c r="L247" s="19"/>
      <c r="M247" s="19"/>
      <c r="N247" s="19"/>
      <c r="O247" s="20"/>
      <c r="P247" s="20"/>
    </row>
    <row r="248" customFormat="false" ht="14.25" hidden="false" customHeight="true" outlineLevel="0" collapsed="false">
      <c r="A248" s="3" t="s">
        <v>1259</v>
      </c>
      <c r="B248" s="3" t="s">
        <v>1260</v>
      </c>
      <c r="C248" s="3" t="n">
        <v>221048</v>
      </c>
      <c r="D248" s="3" t="s">
        <v>1305</v>
      </c>
      <c r="E248" s="18" t="n">
        <v>45393</v>
      </c>
      <c r="F248" s="3" t="s">
        <v>1262</v>
      </c>
      <c r="G248" s="3" t="s">
        <v>5</v>
      </c>
      <c r="H248" s="19"/>
      <c r="I248" s="19"/>
      <c r="J248" s="20"/>
      <c r="K248" s="20"/>
      <c r="L248" s="19"/>
      <c r="M248" s="19"/>
      <c r="N248" s="19"/>
      <c r="O248" s="20"/>
      <c r="P248" s="20"/>
    </row>
    <row r="249" customFormat="false" ht="14.25" hidden="false" customHeight="true" outlineLevel="0" collapsed="false">
      <c r="A249" s="3" t="s">
        <v>1259</v>
      </c>
      <c r="B249" s="3" t="s">
        <v>1260</v>
      </c>
      <c r="C249" s="3" t="n">
        <v>221048</v>
      </c>
      <c r="D249" s="3" t="s">
        <v>1307</v>
      </c>
      <c r="E249" s="18" t="n">
        <v>45404</v>
      </c>
      <c r="F249" s="3" t="s">
        <v>1262</v>
      </c>
      <c r="G249" s="3" t="s">
        <v>5</v>
      </c>
      <c r="H249" s="19"/>
      <c r="I249" s="19"/>
      <c r="J249" s="20"/>
      <c r="K249" s="20"/>
      <c r="L249" s="19"/>
      <c r="M249" s="19"/>
      <c r="N249" s="19"/>
      <c r="O249" s="20"/>
      <c r="P249" s="20"/>
    </row>
    <row r="250" customFormat="false" ht="14.25" hidden="false" customHeight="true" outlineLevel="0" collapsed="false">
      <c r="A250" s="3" t="s">
        <v>1259</v>
      </c>
      <c r="B250" s="3" t="s">
        <v>1260</v>
      </c>
      <c r="C250" s="3" t="n">
        <v>221048</v>
      </c>
      <c r="D250" s="3" t="s">
        <v>1308</v>
      </c>
      <c r="E250" s="18" t="n">
        <v>45421</v>
      </c>
      <c r="F250" s="3" t="s">
        <v>1262</v>
      </c>
      <c r="G250" s="3" t="s">
        <v>5</v>
      </c>
      <c r="H250" s="19"/>
      <c r="I250" s="19"/>
      <c r="J250" s="20"/>
      <c r="K250" s="20"/>
      <c r="L250" s="19"/>
      <c r="M250" s="19"/>
      <c r="N250" s="19"/>
      <c r="O250" s="20"/>
      <c r="P250" s="20"/>
    </row>
    <row r="251" customFormat="false" ht="14.25" hidden="false" customHeight="true" outlineLevel="0" collapsed="false">
      <c r="A251" s="3" t="s">
        <v>1259</v>
      </c>
      <c r="B251" s="3" t="s">
        <v>1260</v>
      </c>
      <c r="C251" s="3" t="n">
        <v>221048</v>
      </c>
      <c r="D251" s="3" t="s">
        <v>1309</v>
      </c>
      <c r="E251" s="18" t="n">
        <v>45434</v>
      </c>
      <c r="F251" s="3" t="s">
        <v>1262</v>
      </c>
      <c r="G251" s="3" t="s">
        <v>5</v>
      </c>
      <c r="H251" s="19"/>
      <c r="I251" s="19"/>
      <c r="J251" s="20"/>
      <c r="K251" s="20"/>
      <c r="L251" s="19"/>
      <c r="M251" s="19"/>
      <c r="N251" s="19"/>
      <c r="O251" s="20"/>
      <c r="P251" s="20"/>
    </row>
    <row r="252" customFormat="false" ht="14.25" hidden="false" customHeight="true" outlineLevel="0" collapsed="false">
      <c r="A252" s="3" t="s">
        <v>1259</v>
      </c>
      <c r="B252" s="3" t="s">
        <v>1260</v>
      </c>
      <c r="C252" s="3" t="n">
        <v>221051</v>
      </c>
      <c r="D252" s="3" t="s">
        <v>1261</v>
      </c>
      <c r="E252" s="18" t="n">
        <v>44985</v>
      </c>
      <c r="F252" s="3" t="s">
        <v>1262</v>
      </c>
      <c r="G252" s="3" t="s">
        <v>5</v>
      </c>
      <c r="H252" s="19" t="n">
        <v>44985</v>
      </c>
      <c r="I252" s="19" t="n">
        <v>44796</v>
      </c>
      <c r="J252" s="20" t="n">
        <v>79</v>
      </c>
      <c r="K252" s="20" t="s">
        <v>1263</v>
      </c>
      <c r="L252" s="19" t="s">
        <v>12</v>
      </c>
      <c r="M252" s="19" t="s">
        <v>1334</v>
      </c>
      <c r="N252" s="19" t="n">
        <v>45121</v>
      </c>
      <c r="O252" s="20" t="s">
        <v>1354</v>
      </c>
      <c r="P252" s="20"/>
    </row>
    <row r="253" customFormat="false" ht="14.25" hidden="false" customHeight="true" outlineLevel="0" collapsed="false">
      <c r="A253" s="3" t="s">
        <v>1259</v>
      </c>
      <c r="B253" s="3" t="s">
        <v>1260</v>
      </c>
      <c r="C253" s="3" t="n">
        <v>221051</v>
      </c>
      <c r="D253" s="3" t="s">
        <v>1264</v>
      </c>
      <c r="E253" s="18" t="n">
        <v>45007</v>
      </c>
      <c r="F253" s="3" t="s">
        <v>1262</v>
      </c>
      <c r="G253" s="3" t="s">
        <v>5</v>
      </c>
      <c r="H253" s="19"/>
      <c r="I253" s="19"/>
      <c r="J253" s="20"/>
      <c r="K253" s="20"/>
      <c r="L253" s="19"/>
      <c r="M253" s="19"/>
      <c r="N253" s="19"/>
      <c r="O253" s="20"/>
      <c r="P253" s="20"/>
    </row>
    <row r="254" customFormat="false" ht="14.25" hidden="false" customHeight="true" outlineLevel="0" collapsed="false">
      <c r="A254" s="3" t="s">
        <v>1259</v>
      </c>
      <c r="B254" s="3" t="s">
        <v>1260</v>
      </c>
      <c r="C254" s="3" t="n">
        <v>221051</v>
      </c>
      <c r="D254" s="3" t="s">
        <v>1265</v>
      </c>
      <c r="E254" s="18" t="n">
        <v>45009</v>
      </c>
      <c r="F254" s="3" t="s">
        <v>1262</v>
      </c>
      <c r="G254" s="3" t="s">
        <v>5</v>
      </c>
      <c r="H254" s="19"/>
      <c r="I254" s="19"/>
      <c r="J254" s="20"/>
      <c r="K254" s="20"/>
      <c r="L254" s="19"/>
      <c r="M254" s="19"/>
      <c r="N254" s="19"/>
      <c r="O254" s="20"/>
      <c r="P254" s="20"/>
    </row>
    <row r="255" customFormat="false" ht="14.25" hidden="false" customHeight="true" outlineLevel="0" collapsed="false">
      <c r="A255" s="3" t="s">
        <v>1259</v>
      </c>
      <c r="B255" s="3" t="s">
        <v>1260</v>
      </c>
      <c r="C255" s="3" t="n">
        <v>221051</v>
      </c>
      <c r="D255" s="3" t="s">
        <v>1266</v>
      </c>
      <c r="E255" s="18" t="n">
        <v>45015</v>
      </c>
      <c r="F255" s="3" t="s">
        <v>1262</v>
      </c>
      <c r="G255" s="3" t="s">
        <v>5</v>
      </c>
      <c r="H255" s="19"/>
      <c r="I255" s="19"/>
      <c r="J255" s="20"/>
      <c r="K255" s="20"/>
      <c r="L255" s="19"/>
      <c r="M255" s="19"/>
      <c r="N255" s="19"/>
      <c r="O255" s="20"/>
      <c r="P255" s="20"/>
    </row>
    <row r="256" customFormat="false" ht="14.25" hidden="false" customHeight="true" outlineLevel="0" collapsed="false">
      <c r="A256" s="3" t="s">
        <v>1259</v>
      </c>
      <c r="B256" s="3" t="s">
        <v>1260</v>
      </c>
      <c r="C256" s="3" t="n">
        <v>221051</v>
      </c>
      <c r="D256" s="3" t="s">
        <v>1269</v>
      </c>
      <c r="E256" s="18" t="n">
        <v>45022</v>
      </c>
      <c r="F256" s="3" t="s">
        <v>1262</v>
      </c>
      <c r="G256" s="3" t="s">
        <v>5</v>
      </c>
      <c r="H256" s="19"/>
      <c r="I256" s="19"/>
      <c r="J256" s="20"/>
      <c r="K256" s="20"/>
      <c r="L256" s="19"/>
      <c r="M256" s="19"/>
      <c r="N256" s="19"/>
      <c r="O256" s="20"/>
      <c r="P256" s="20"/>
    </row>
    <row r="257" customFormat="false" ht="14.25" hidden="false" customHeight="true" outlineLevel="0" collapsed="false">
      <c r="A257" s="3" t="s">
        <v>1259</v>
      </c>
      <c r="B257" s="3" t="s">
        <v>1260</v>
      </c>
      <c r="C257" s="3" t="n">
        <v>221051</v>
      </c>
      <c r="D257" s="3" t="s">
        <v>1270</v>
      </c>
      <c r="E257" s="18" t="n">
        <v>45029</v>
      </c>
      <c r="F257" s="3" t="s">
        <v>1262</v>
      </c>
      <c r="G257" s="3" t="s">
        <v>5</v>
      </c>
      <c r="H257" s="19"/>
      <c r="I257" s="19"/>
      <c r="J257" s="20"/>
      <c r="K257" s="20"/>
      <c r="L257" s="19"/>
      <c r="M257" s="19"/>
      <c r="N257" s="19"/>
      <c r="O257" s="20"/>
      <c r="P257" s="20"/>
    </row>
    <row r="258" customFormat="false" ht="14.25" hidden="false" customHeight="true" outlineLevel="0" collapsed="false">
      <c r="A258" s="3" t="s">
        <v>1259</v>
      </c>
      <c r="B258" s="3" t="s">
        <v>1260</v>
      </c>
      <c r="C258" s="3" t="n">
        <v>221051</v>
      </c>
      <c r="D258" s="3" t="s">
        <v>1271</v>
      </c>
      <c r="E258" s="18" t="n">
        <v>45034</v>
      </c>
      <c r="F258" s="3" t="s">
        <v>1262</v>
      </c>
      <c r="G258" s="3" t="s">
        <v>5</v>
      </c>
      <c r="H258" s="19"/>
      <c r="I258" s="19"/>
      <c r="J258" s="20"/>
      <c r="K258" s="20"/>
      <c r="L258" s="19"/>
      <c r="M258" s="19"/>
      <c r="N258" s="19"/>
      <c r="O258" s="20"/>
      <c r="P258" s="20"/>
    </row>
    <row r="259" customFormat="false" ht="14.25" hidden="false" customHeight="true" outlineLevel="0" collapsed="false">
      <c r="A259" s="3" t="s">
        <v>1259</v>
      </c>
      <c r="B259" s="3" t="s">
        <v>1260</v>
      </c>
      <c r="C259" s="3" t="n">
        <v>221051</v>
      </c>
      <c r="D259" s="3" t="s">
        <v>1272</v>
      </c>
      <c r="E259" s="18" t="n">
        <v>45036</v>
      </c>
      <c r="F259" s="3" t="s">
        <v>1262</v>
      </c>
      <c r="G259" s="3" t="s">
        <v>5</v>
      </c>
      <c r="H259" s="19"/>
      <c r="I259" s="19"/>
      <c r="J259" s="20"/>
      <c r="K259" s="20"/>
      <c r="L259" s="19"/>
      <c r="M259" s="19"/>
      <c r="N259" s="19"/>
      <c r="O259" s="20"/>
      <c r="P259" s="20"/>
    </row>
    <row r="260" customFormat="false" ht="14.25" hidden="false" customHeight="true" outlineLevel="0" collapsed="false">
      <c r="A260" s="3" t="s">
        <v>1259</v>
      </c>
      <c r="B260" s="3" t="s">
        <v>1260</v>
      </c>
      <c r="C260" s="3" t="n">
        <v>221051</v>
      </c>
      <c r="D260" s="3" t="s">
        <v>1273</v>
      </c>
      <c r="E260" s="18" t="n">
        <v>45054</v>
      </c>
      <c r="F260" s="3" t="s">
        <v>1262</v>
      </c>
      <c r="G260" s="3" t="s">
        <v>5</v>
      </c>
      <c r="H260" s="19"/>
      <c r="I260" s="19"/>
      <c r="J260" s="20"/>
      <c r="K260" s="20"/>
      <c r="L260" s="19"/>
      <c r="M260" s="19"/>
      <c r="N260" s="19"/>
      <c r="O260" s="20"/>
      <c r="P260" s="20"/>
    </row>
    <row r="261" customFormat="false" ht="14.25" hidden="false" customHeight="true" outlineLevel="0" collapsed="false">
      <c r="A261" s="3" t="s">
        <v>1259</v>
      </c>
      <c r="B261" s="3" t="s">
        <v>1260</v>
      </c>
      <c r="C261" s="3" t="n">
        <v>221051</v>
      </c>
      <c r="D261" s="3" t="s">
        <v>1355</v>
      </c>
      <c r="E261" s="18" t="n">
        <v>45054</v>
      </c>
      <c r="F261" s="3" t="s">
        <v>1262</v>
      </c>
      <c r="G261" s="3" t="s">
        <v>1268</v>
      </c>
      <c r="H261" s="19"/>
      <c r="I261" s="19"/>
      <c r="J261" s="20"/>
      <c r="K261" s="20"/>
      <c r="L261" s="19"/>
      <c r="M261" s="19"/>
      <c r="N261" s="19"/>
      <c r="O261" s="20"/>
      <c r="P261" s="20"/>
    </row>
    <row r="262" customFormat="false" ht="14.25" hidden="false" customHeight="true" outlineLevel="0" collapsed="false">
      <c r="A262" s="3" t="s">
        <v>1259</v>
      </c>
      <c r="B262" s="3" t="s">
        <v>1260</v>
      </c>
      <c r="C262" s="3" t="n">
        <v>221051</v>
      </c>
      <c r="D262" s="3" t="s">
        <v>1356</v>
      </c>
      <c r="E262" s="18" t="n">
        <v>45058</v>
      </c>
      <c r="F262" s="3" t="s">
        <v>1262</v>
      </c>
      <c r="G262" s="3" t="s">
        <v>1275</v>
      </c>
      <c r="H262" s="19"/>
      <c r="I262" s="19"/>
      <c r="J262" s="20"/>
      <c r="K262" s="20"/>
      <c r="L262" s="19"/>
      <c r="M262" s="19"/>
      <c r="N262" s="19"/>
      <c r="O262" s="20"/>
      <c r="P262" s="20"/>
    </row>
    <row r="263" customFormat="false" ht="14.25" hidden="false" customHeight="true" outlineLevel="0" collapsed="false">
      <c r="A263" s="3" t="s">
        <v>1259</v>
      </c>
      <c r="B263" s="3" t="s">
        <v>1260</v>
      </c>
      <c r="C263" s="3" t="n">
        <v>221051</v>
      </c>
      <c r="D263" s="3" t="s">
        <v>1276</v>
      </c>
      <c r="E263" s="18" t="n">
        <v>45062</v>
      </c>
      <c r="F263" s="3" t="s">
        <v>1262</v>
      </c>
      <c r="G263" s="3" t="s">
        <v>5</v>
      </c>
      <c r="H263" s="19"/>
      <c r="I263" s="19"/>
      <c r="J263" s="20"/>
      <c r="K263" s="20"/>
      <c r="L263" s="19"/>
      <c r="M263" s="19"/>
      <c r="N263" s="19"/>
      <c r="O263" s="20"/>
      <c r="P263" s="20"/>
    </row>
    <row r="264" customFormat="false" ht="14.25" hidden="false" customHeight="true" outlineLevel="0" collapsed="false">
      <c r="A264" s="3" t="s">
        <v>1259</v>
      </c>
      <c r="B264" s="3" t="s">
        <v>1260</v>
      </c>
      <c r="C264" s="3" t="n">
        <v>221051</v>
      </c>
      <c r="D264" s="3" t="s">
        <v>1277</v>
      </c>
      <c r="E264" s="18" t="n">
        <v>45078</v>
      </c>
      <c r="F264" s="3" t="s">
        <v>1262</v>
      </c>
      <c r="G264" s="3" t="s">
        <v>5</v>
      </c>
      <c r="H264" s="19"/>
      <c r="I264" s="19"/>
      <c r="J264" s="20"/>
      <c r="K264" s="20"/>
      <c r="L264" s="19"/>
      <c r="M264" s="19"/>
      <c r="N264" s="19"/>
      <c r="O264" s="20"/>
      <c r="P264" s="20"/>
    </row>
    <row r="265" customFormat="false" ht="14.25" hidden="false" customHeight="true" outlineLevel="0" collapsed="false">
      <c r="A265" s="3" t="s">
        <v>1259</v>
      </c>
      <c r="B265" s="3" t="s">
        <v>1260</v>
      </c>
      <c r="C265" s="3" t="n">
        <v>221051</v>
      </c>
      <c r="D265" s="3" t="s">
        <v>1278</v>
      </c>
      <c r="E265" s="18" t="n">
        <v>45092</v>
      </c>
      <c r="F265" s="3" t="s">
        <v>1262</v>
      </c>
      <c r="G265" s="3" t="s">
        <v>5</v>
      </c>
      <c r="H265" s="19"/>
      <c r="I265" s="19"/>
      <c r="J265" s="20"/>
      <c r="K265" s="20"/>
      <c r="L265" s="19"/>
      <c r="M265" s="19"/>
      <c r="N265" s="19"/>
      <c r="O265" s="20"/>
      <c r="P265" s="20"/>
    </row>
    <row r="266" customFormat="false" ht="14.25" hidden="false" customHeight="true" outlineLevel="0" collapsed="false">
      <c r="A266" s="3" t="s">
        <v>1259</v>
      </c>
      <c r="B266" s="3" t="s">
        <v>1260</v>
      </c>
      <c r="C266" s="3" t="n">
        <v>221051</v>
      </c>
      <c r="D266" s="3" t="s">
        <v>1357</v>
      </c>
      <c r="E266" s="18" t="n">
        <v>45096</v>
      </c>
      <c r="F266" s="3" t="s">
        <v>1262</v>
      </c>
      <c r="G266" s="3" t="s">
        <v>1268</v>
      </c>
      <c r="H266" s="19"/>
      <c r="I266" s="19"/>
      <c r="J266" s="20"/>
      <c r="K266" s="20"/>
      <c r="L266" s="19"/>
      <c r="M266" s="19"/>
      <c r="N266" s="19"/>
      <c r="O266" s="20"/>
      <c r="P266" s="20"/>
    </row>
    <row r="267" customFormat="false" ht="14.25" hidden="false" customHeight="true" outlineLevel="0" collapsed="false">
      <c r="A267" s="3" t="s">
        <v>1259</v>
      </c>
      <c r="B267" s="3" t="s">
        <v>1260</v>
      </c>
      <c r="C267" s="3" t="n">
        <v>221051</v>
      </c>
      <c r="D267" s="3" t="s">
        <v>1279</v>
      </c>
      <c r="E267" s="18" t="n">
        <v>45103</v>
      </c>
      <c r="F267" s="3" t="s">
        <v>1262</v>
      </c>
      <c r="G267" s="3" t="s">
        <v>5</v>
      </c>
      <c r="H267" s="19"/>
      <c r="I267" s="19"/>
      <c r="J267" s="20"/>
      <c r="K267" s="20"/>
      <c r="L267" s="19"/>
      <c r="M267" s="19"/>
      <c r="N267" s="19"/>
      <c r="O267" s="20"/>
      <c r="P267" s="20"/>
    </row>
    <row r="268" customFormat="false" ht="14.25" hidden="false" customHeight="true" outlineLevel="0" collapsed="false">
      <c r="A268" s="3" t="s">
        <v>1259</v>
      </c>
      <c r="B268" s="3" t="s">
        <v>1260</v>
      </c>
      <c r="C268" s="3" t="n">
        <v>221051</v>
      </c>
      <c r="D268" s="3" t="s">
        <v>1358</v>
      </c>
      <c r="E268" s="18" t="n">
        <v>45110</v>
      </c>
      <c r="F268" s="3" t="s">
        <v>1262</v>
      </c>
      <c r="G268" s="3" t="s">
        <v>1268</v>
      </c>
      <c r="H268" s="19"/>
      <c r="I268" s="19"/>
      <c r="J268" s="20"/>
      <c r="K268" s="20"/>
      <c r="L268" s="19"/>
      <c r="M268" s="19"/>
      <c r="N268" s="19"/>
      <c r="O268" s="20"/>
      <c r="P268" s="20"/>
    </row>
    <row r="269" customFormat="false" ht="14.25" hidden="false" customHeight="true" outlineLevel="0" collapsed="false">
      <c r="A269" s="3" t="s">
        <v>1259</v>
      </c>
      <c r="B269" s="3" t="s">
        <v>1260</v>
      </c>
      <c r="C269" s="3" t="n">
        <v>221051</v>
      </c>
      <c r="D269" s="3" t="s">
        <v>1281</v>
      </c>
      <c r="F269" s="3" t="s">
        <v>1262</v>
      </c>
      <c r="G269" s="3" t="s">
        <v>5</v>
      </c>
      <c r="H269" s="19"/>
      <c r="I269" s="19"/>
      <c r="J269" s="20"/>
      <c r="K269" s="20"/>
      <c r="L269" s="19"/>
      <c r="M269" s="19"/>
      <c r="N269" s="19"/>
      <c r="O269" s="20"/>
      <c r="P269" s="20"/>
    </row>
    <row r="270" customFormat="false" ht="14.25" hidden="false" customHeight="true" outlineLevel="0" collapsed="false">
      <c r="A270" s="3" t="s">
        <v>1259</v>
      </c>
      <c r="B270" s="3" t="s">
        <v>1260</v>
      </c>
      <c r="C270" s="3" t="n">
        <v>221053</v>
      </c>
      <c r="D270" s="3" t="s">
        <v>1261</v>
      </c>
      <c r="E270" s="18" t="n">
        <v>44991</v>
      </c>
      <c r="F270" s="3" t="s">
        <v>1333</v>
      </c>
      <c r="G270" s="3" t="s">
        <v>5</v>
      </c>
      <c r="H270" s="19" t="n">
        <v>44991</v>
      </c>
      <c r="I270" s="19" t="n">
        <v>44796</v>
      </c>
      <c r="J270" s="20" t="n">
        <v>79</v>
      </c>
      <c r="K270" s="20" t="s">
        <v>1313</v>
      </c>
      <c r="L270" s="19" t="s">
        <v>12</v>
      </c>
      <c r="M270" s="19" t="s">
        <v>1334</v>
      </c>
      <c r="N270" s="19" t="n">
        <v>45005</v>
      </c>
      <c r="O270" s="20"/>
      <c r="P270" s="20" t="s">
        <v>1335</v>
      </c>
    </row>
    <row r="271" customFormat="false" ht="14.25" hidden="false" customHeight="true" outlineLevel="0" collapsed="false">
      <c r="A271" s="3" t="s">
        <v>1259</v>
      </c>
      <c r="B271" s="3" t="s">
        <v>1260</v>
      </c>
      <c r="C271" s="3" t="n">
        <v>221055</v>
      </c>
      <c r="D271" s="3" t="s">
        <v>1261</v>
      </c>
      <c r="E271" s="18" t="n">
        <v>44992</v>
      </c>
      <c r="F271" s="3" t="s">
        <v>1262</v>
      </c>
      <c r="G271" s="3" t="s">
        <v>5</v>
      </c>
      <c r="H271" s="19" t="n">
        <v>44992</v>
      </c>
      <c r="I271" s="19" t="n">
        <v>44796</v>
      </c>
      <c r="J271" s="20" t="n">
        <v>63</v>
      </c>
      <c r="K271" s="20" t="s">
        <v>1263</v>
      </c>
      <c r="L271" s="19" t="s">
        <v>12</v>
      </c>
      <c r="M271" s="19"/>
      <c r="N271" s="19"/>
      <c r="O271" s="20"/>
      <c r="P271" s="20"/>
    </row>
    <row r="272" customFormat="false" ht="14.25" hidden="false" customHeight="true" outlineLevel="0" collapsed="false">
      <c r="A272" s="3" t="s">
        <v>1259</v>
      </c>
      <c r="B272" s="3" t="s">
        <v>1260</v>
      </c>
      <c r="C272" s="3" t="n">
        <v>221055</v>
      </c>
      <c r="D272" s="3" t="s">
        <v>1264</v>
      </c>
      <c r="E272" s="18" t="n">
        <v>45005</v>
      </c>
      <c r="F272" s="3" t="s">
        <v>1262</v>
      </c>
      <c r="G272" s="3" t="s">
        <v>5</v>
      </c>
      <c r="H272" s="19"/>
      <c r="I272" s="19"/>
      <c r="J272" s="20"/>
      <c r="K272" s="20"/>
      <c r="L272" s="19"/>
      <c r="M272" s="19"/>
      <c r="N272" s="19"/>
      <c r="O272" s="20"/>
      <c r="P272" s="20"/>
    </row>
    <row r="273" customFormat="false" ht="14.25" hidden="false" customHeight="true" outlineLevel="0" collapsed="false">
      <c r="A273" s="3" t="s">
        <v>1259</v>
      </c>
      <c r="B273" s="3" t="s">
        <v>1260</v>
      </c>
      <c r="C273" s="3" t="n">
        <v>221055</v>
      </c>
      <c r="D273" s="3" t="s">
        <v>1265</v>
      </c>
      <c r="E273" s="18" t="n">
        <v>45007</v>
      </c>
      <c r="F273" s="3" t="s">
        <v>1262</v>
      </c>
      <c r="G273" s="3" t="s">
        <v>5</v>
      </c>
      <c r="H273" s="19"/>
      <c r="I273" s="19"/>
      <c r="J273" s="20"/>
      <c r="K273" s="20"/>
      <c r="L273" s="19"/>
      <c r="M273" s="19"/>
      <c r="N273" s="19"/>
      <c r="O273" s="20"/>
      <c r="P273" s="20"/>
    </row>
    <row r="274" customFormat="false" ht="14.25" hidden="false" customHeight="true" outlineLevel="0" collapsed="false">
      <c r="A274" s="3" t="s">
        <v>1259</v>
      </c>
      <c r="B274" s="3" t="s">
        <v>1260</v>
      </c>
      <c r="C274" s="3" t="n">
        <v>221055</v>
      </c>
      <c r="D274" s="3" t="s">
        <v>1266</v>
      </c>
      <c r="E274" s="18" t="n">
        <v>45012</v>
      </c>
      <c r="F274" s="3" t="s">
        <v>1262</v>
      </c>
      <c r="G274" s="3" t="s">
        <v>5</v>
      </c>
      <c r="H274" s="19"/>
      <c r="I274" s="19"/>
      <c r="J274" s="20"/>
      <c r="K274" s="20"/>
      <c r="L274" s="19"/>
      <c r="M274" s="19"/>
      <c r="N274" s="19"/>
      <c r="O274" s="20"/>
      <c r="P274" s="20"/>
    </row>
    <row r="275" customFormat="false" ht="14.25" hidden="false" customHeight="true" outlineLevel="0" collapsed="false">
      <c r="A275" s="3" t="s">
        <v>1259</v>
      </c>
      <c r="B275" s="3" t="s">
        <v>1260</v>
      </c>
      <c r="C275" s="3" t="n">
        <v>221055</v>
      </c>
      <c r="D275" s="3" t="s">
        <v>1359</v>
      </c>
      <c r="E275" s="18" t="n">
        <v>45015</v>
      </c>
      <c r="F275" s="3" t="s">
        <v>1262</v>
      </c>
      <c r="G275" s="3" t="s">
        <v>1268</v>
      </c>
      <c r="H275" s="19"/>
      <c r="I275" s="19"/>
      <c r="J275" s="20"/>
      <c r="K275" s="20"/>
      <c r="L275" s="19"/>
      <c r="M275" s="19"/>
      <c r="N275" s="19"/>
      <c r="O275" s="20"/>
      <c r="P275" s="20"/>
    </row>
    <row r="276" customFormat="false" ht="14.25" hidden="false" customHeight="true" outlineLevel="0" collapsed="false">
      <c r="A276" s="3" t="s">
        <v>1259</v>
      </c>
      <c r="B276" s="3" t="s">
        <v>1260</v>
      </c>
      <c r="C276" s="3" t="n">
        <v>221055</v>
      </c>
      <c r="D276" s="3" t="s">
        <v>1269</v>
      </c>
      <c r="E276" s="18" t="n">
        <v>45019</v>
      </c>
      <c r="F276" s="3" t="s">
        <v>1262</v>
      </c>
      <c r="G276" s="3" t="s">
        <v>5</v>
      </c>
      <c r="H276" s="19"/>
      <c r="I276" s="19"/>
      <c r="J276" s="20"/>
      <c r="K276" s="20"/>
      <c r="L276" s="19"/>
      <c r="M276" s="19"/>
      <c r="N276" s="19"/>
      <c r="O276" s="20"/>
      <c r="P276" s="20"/>
    </row>
    <row r="277" customFormat="false" ht="14.25" hidden="false" customHeight="true" outlineLevel="0" collapsed="false">
      <c r="A277" s="3" t="s">
        <v>1259</v>
      </c>
      <c r="B277" s="3" t="s">
        <v>1260</v>
      </c>
      <c r="C277" s="3" t="n">
        <v>221055</v>
      </c>
      <c r="D277" s="3" t="s">
        <v>1270</v>
      </c>
      <c r="E277" s="18" t="n">
        <v>45026</v>
      </c>
      <c r="F277" s="3" t="s">
        <v>1262</v>
      </c>
      <c r="G277" s="3" t="s">
        <v>5</v>
      </c>
      <c r="H277" s="19"/>
      <c r="I277" s="19"/>
      <c r="J277" s="20"/>
      <c r="K277" s="20"/>
      <c r="L277" s="19"/>
      <c r="M277" s="19"/>
      <c r="N277" s="19"/>
      <c r="O277" s="20"/>
      <c r="P277" s="20"/>
    </row>
    <row r="278" customFormat="false" ht="14.25" hidden="false" customHeight="true" outlineLevel="0" collapsed="false">
      <c r="A278" s="3" t="s">
        <v>1259</v>
      </c>
      <c r="B278" s="3" t="s">
        <v>1260</v>
      </c>
      <c r="C278" s="3" t="n">
        <v>221055</v>
      </c>
      <c r="D278" s="3" t="s">
        <v>1271</v>
      </c>
      <c r="E278" s="18" t="n">
        <v>45033</v>
      </c>
      <c r="F278" s="3" t="s">
        <v>1262</v>
      </c>
      <c r="G278" s="3" t="s">
        <v>5</v>
      </c>
      <c r="H278" s="19"/>
      <c r="I278" s="19"/>
      <c r="J278" s="20"/>
      <c r="K278" s="20"/>
      <c r="L278" s="19"/>
      <c r="M278" s="19"/>
      <c r="N278" s="19"/>
      <c r="O278" s="20"/>
      <c r="P278" s="20"/>
    </row>
    <row r="279" customFormat="false" ht="14.25" hidden="false" customHeight="true" outlineLevel="0" collapsed="false">
      <c r="A279" s="3" t="s">
        <v>1259</v>
      </c>
      <c r="B279" s="3" t="s">
        <v>1260</v>
      </c>
      <c r="C279" s="3" t="n">
        <v>221055</v>
      </c>
      <c r="D279" s="3" t="s">
        <v>1272</v>
      </c>
      <c r="E279" s="18" t="n">
        <v>45035</v>
      </c>
      <c r="F279" s="3" t="s">
        <v>1262</v>
      </c>
      <c r="G279" s="3" t="s">
        <v>5</v>
      </c>
      <c r="H279" s="19"/>
      <c r="I279" s="19"/>
      <c r="J279" s="20"/>
      <c r="K279" s="20"/>
      <c r="L279" s="19"/>
      <c r="M279" s="19"/>
      <c r="N279" s="19"/>
      <c r="O279" s="20"/>
      <c r="P279" s="20"/>
    </row>
    <row r="280" customFormat="false" ht="14.25" hidden="false" customHeight="true" outlineLevel="0" collapsed="false">
      <c r="A280" s="3" t="s">
        <v>1259</v>
      </c>
      <c r="B280" s="3" t="s">
        <v>1260</v>
      </c>
      <c r="C280" s="3" t="n">
        <v>221055</v>
      </c>
      <c r="D280" s="3" t="s">
        <v>1273</v>
      </c>
      <c r="E280" s="18" t="n">
        <v>45050</v>
      </c>
      <c r="F280" s="3" t="s">
        <v>1262</v>
      </c>
      <c r="G280" s="3" t="s">
        <v>5</v>
      </c>
      <c r="H280" s="19"/>
      <c r="I280" s="19"/>
      <c r="J280" s="20"/>
      <c r="K280" s="20"/>
      <c r="L280" s="19"/>
      <c r="M280" s="19"/>
      <c r="N280" s="19"/>
      <c r="O280" s="20"/>
      <c r="P280" s="20"/>
    </row>
    <row r="281" customFormat="false" ht="14.25" hidden="false" customHeight="true" outlineLevel="0" collapsed="false">
      <c r="A281" s="3" t="s">
        <v>1259</v>
      </c>
      <c r="B281" s="3" t="s">
        <v>1260</v>
      </c>
      <c r="C281" s="3" t="n">
        <v>221055</v>
      </c>
      <c r="D281" s="3" t="s">
        <v>1276</v>
      </c>
      <c r="E281" s="18" t="n">
        <v>45061</v>
      </c>
      <c r="F281" s="3" t="s">
        <v>1262</v>
      </c>
      <c r="G281" s="3" t="s">
        <v>5</v>
      </c>
      <c r="H281" s="19"/>
      <c r="I281" s="19"/>
      <c r="J281" s="20"/>
      <c r="K281" s="20"/>
      <c r="L281" s="19"/>
      <c r="M281" s="19"/>
      <c r="N281" s="19"/>
      <c r="O281" s="20"/>
      <c r="P281" s="20"/>
    </row>
    <row r="282" customFormat="false" ht="14.25" hidden="false" customHeight="true" outlineLevel="0" collapsed="false">
      <c r="A282" s="3" t="s">
        <v>1259</v>
      </c>
      <c r="B282" s="3" t="s">
        <v>1260</v>
      </c>
      <c r="C282" s="3" t="n">
        <v>221055</v>
      </c>
      <c r="D282" s="3" t="s">
        <v>1360</v>
      </c>
      <c r="E282" s="18" t="n">
        <v>45066</v>
      </c>
      <c r="F282" s="3" t="s">
        <v>1262</v>
      </c>
      <c r="G282" s="3" t="s">
        <v>1275</v>
      </c>
      <c r="H282" s="19"/>
      <c r="I282" s="19"/>
      <c r="J282" s="20"/>
      <c r="K282" s="20"/>
      <c r="L282" s="19"/>
      <c r="M282" s="19"/>
      <c r="N282" s="19"/>
      <c r="O282" s="20"/>
      <c r="P282" s="20"/>
    </row>
    <row r="283" customFormat="false" ht="14.25" hidden="false" customHeight="true" outlineLevel="0" collapsed="false">
      <c r="A283" s="3" t="s">
        <v>1259</v>
      </c>
      <c r="B283" s="3" t="s">
        <v>1260</v>
      </c>
      <c r="C283" s="3" t="n">
        <v>221055</v>
      </c>
      <c r="D283" s="3" t="s">
        <v>1277</v>
      </c>
      <c r="E283" s="18" t="n">
        <v>45076</v>
      </c>
      <c r="F283" s="3" t="s">
        <v>1262</v>
      </c>
      <c r="G283" s="3" t="s">
        <v>5</v>
      </c>
      <c r="H283" s="19"/>
      <c r="I283" s="19"/>
      <c r="J283" s="20"/>
      <c r="K283" s="20"/>
      <c r="L283" s="19"/>
      <c r="M283" s="19"/>
      <c r="N283" s="19"/>
      <c r="O283" s="20"/>
      <c r="P283" s="20"/>
    </row>
    <row r="284" customFormat="false" ht="14.25" hidden="false" customHeight="true" outlineLevel="0" collapsed="false">
      <c r="A284" s="3" t="s">
        <v>1259</v>
      </c>
      <c r="B284" s="3" t="s">
        <v>1260</v>
      </c>
      <c r="C284" s="3" t="n">
        <v>221055</v>
      </c>
      <c r="D284" s="3" t="s">
        <v>1278</v>
      </c>
      <c r="E284" s="18" t="n">
        <v>45092</v>
      </c>
      <c r="F284" s="3" t="s">
        <v>1262</v>
      </c>
      <c r="G284" s="3" t="s">
        <v>5</v>
      </c>
      <c r="H284" s="19"/>
      <c r="I284" s="19"/>
      <c r="J284" s="20"/>
      <c r="K284" s="20"/>
      <c r="L284" s="19"/>
      <c r="M284" s="19"/>
      <c r="N284" s="19"/>
      <c r="O284" s="20"/>
      <c r="P284" s="20"/>
    </row>
    <row r="285" customFormat="false" ht="14.25" hidden="false" customHeight="true" outlineLevel="0" collapsed="false">
      <c r="A285" s="3" t="s">
        <v>1259</v>
      </c>
      <c r="B285" s="3" t="s">
        <v>1260</v>
      </c>
      <c r="C285" s="3" t="n">
        <v>221055</v>
      </c>
      <c r="D285" s="3" t="s">
        <v>1279</v>
      </c>
      <c r="E285" s="18" t="n">
        <v>45103</v>
      </c>
      <c r="F285" s="3" t="s">
        <v>1262</v>
      </c>
      <c r="G285" s="3" t="s">
        <v>5</v>
      </c>
      <c r="H285" s="19"/>
      <c r="I285" s="19"/>
      <c r="J285" s="20"/>
      <c r="K285" s="20"/>
      <c r="L285" s="19"/>
      <c r="M285" s="19"/>
      <c r="N285" s="19"/>
      <c r="O285" s="20"/>
      <c r="P285" s="20"/>
    </row>
    <row r="286" customFormat="false" ht="14.25" hidden="false" customHeight="true" outlineLevel="0" collapsed="false">
      <c r="A286" s="3" t="s">
        <v>1259</v>
      </c>
      <c r="B286" s="3" t="s">
        <v>1260</v>
      </c>
      <c r="C286" s="3" t="n">
        <v>221055</v>
      </c>
      <c r="D286" s="3" t="s">
        <v>1281</v>
      </c>
      <c r="E286" s="18" t="n">
        <v>45117</v>
      </c>
      <c r="F286" s="3" t="s">
        <v>1262</v>
      </c>
      <c r="G286" s="3" t="s">
        <v>5</v>
      </c>
      <c r="H286" s="19"/>
      <c r="I286" s="19"/>
      <c r="J286" s="20"/>
      <c r="K286" s="20"/>
      <c r="L286" s="19"/>
      <c r="M286" s="19"/>
      <c r="N286" s="19"/>
      <c r="O286" s="20"/>
      <c r="P286" s="20"/>
    </row>
    <row r="287" customFormat="false" ht="14.25" hidden="false" customHeight="true" outlineLevel="0" collapsed="false">
      <c r="A287" s="3" t="s">
        <v>1259</v>
      </c>
      <c r="B287" s="3" t="s">
        <v>1260</v>
      </c>
      <c r="C287" s="3" t="n">
        <v>221055</v>
      </c>
      <c r="D287" s="3" t="s">
        <v>1361</v>
      </c>
      <c r="E287" s="18" t="n">
        <v>45117</v>
      </c>
      <c r="F287" s="3" t="s">
        <v>1262</v>
      </c>
      <c r="G287" s="3" t="s">
        <v>1275</v>
      </c>
      <c r="H287" s="19"/>
      <c r="I287" s="19"/>
      <c r="J287" s="20"/>
      <c r="K287" s="20"/>
      <c r="L287" s="19"/>
      <c r="M287" s="19"/>
      <c r="N287" s="19"/>
      <c r="O287" s="20"/>
      <c r="P287" s="20"/>
    </row>
    <row r="288" customFormat="false" ht="14.25" hidden="false" customHeight="true" outlineLevel="0" collapsed="false">
      <c r="A288" s="3" t="s">
        <v>1259</v>
      </c>
      <c r="B288" s="3" t="s">
        <v>1260</v>
      </c>
      <c r="C288" s="3" t="n">
        <v>221055</v>
      </c>
      <c r="D288" s="3" t="s">
        <v>1282</v>
      </c>
      <c r="E288" s="18" t="n">
        <v>45132</v>
      </c>
      <c r="F288" s="3" t="s">
        <v>1262</v>
      </c>
      <c r="G288" s="3" t="s">
        <v>5</v>
      </c>
      <c r="H288" s="19"/>
      <c r="I288" s="19"/>
      <c r="J288" s="20"/>
      <c r="K288" s="20"/>
      <c r="L288" s="19"/>
      <c r="M288" s="19"/>
      <c r="N288" s="19"/>
      <c r="O288" s="20"/>
      <c r="P288" s="20"/>
    </row>
    <row r="289" customFormat="false" ht="14.25" hidden="false" customHeight="true" outlineLevel="0" collapsed="false">
      <c r="A289" s="3" t="s">
        <v>1259</v>
      </c>
      <c r="B289" s="3" t="s">
        <v>1260</v>
      </c>
      <c r="C289" s="3" t="n">
        <v>221055</v>
      </c>
      <c r="D289" s="3" t="s">
        <v>1283</v>
      </c>
      <c r="E289" s="18" t="n">
        <v>45145</v>
      </c>
      <c r="F289" s="3" t="s">
        <v>1262</v>
      </c>
      <c r="G289" s="3" t="s">
        <v>5</v>
      </c>
      <c r="H289" s="19"/>
      <c r="I289" s="19"/>
      <c r="J289" s="20"/>
      <c r="K289" s="20"/>
      <c r="L289" s="19"/>
      <c r="M289" s="19"/>
      <c r="N289" s="19"/>
      <c r="O289" s="20"/>
      <c r="P289" s="20"/>
    </row>
    <row r="290" customFormat="false" ht="14.25" hidden="false" customHeight="true" outlineLevel="0" collapsed="false">
      <c r="A290" s="3" t="s">
        <v>1259</v>
      </c>
      <c r="B290" s="3" t="s">
        <v>1260</v>
      </c>
      <c r="C290" s="3" t="n">
        <v>221055</v>
      </c>
      <c r="D290" s="3" t="s">
        <v>1362</v>
      </c>
      <c r="E290" s="18" t="n">
        <v>45154</v>
      </c>
      <c r="F290" s="3" t="s">
        <v>1262</v>
      </c>
      <c r="G290" s="3" t="s">
        <v>1268</v>
      </c>
      <c r="H290" s="19"/>
      <c r="I290" s="19"/>
      <c r="J290" s="20"/>
      <c r="K290" s="20"/>
      <c r="L290" s="19"/>
      <c r="M290" s="19"/>
      <c r="N290" s="19"/>
      <c r="O290" s="20"/>
      <c r="P290" s="20"/>
    </row>
    <row r="291" customFormat="false" ht="14.25" hidden="false" customHeight="true" outlineLevel="0" collapsed="false">
      <c r="A291" s="3" t="s">
        <v>1259</v>
      </c>
      <c r="B291" s="3" t="s">
        <v>1260</v>
      </c>
      <c r="C291" s="3" t="n">
        <v>221055</v>
      </c>
      <c r="D291" s="3" t="s">
        <v>1284</v>
      </c>
      <c r="E291" s="18" t="n">
        <v>45160</v>
      </c>
      <c r="F291" s="3" t="s">
        <v>1262</v>
      </c>
      <c r="G291" s="3" t="s">
        <v>5</v>
      </c>
      <c r="H291" s="19"/>
      <c r="I291" s="19"/>
      <c r="J291" s="20"/>
      <c r="K291" s="20"/>
      <c r="L291" s="19"/>
      <c r="M291" s="19"/>
      <c r="N291" s="19"/>
      <c r="O291" s="20"/>
      <c r="P291" s="20"/>
    </row>
    <row r="292" customFormat="false" ht="14.25" hidden="false" customHeight="true" outlineLevel="0" collapsed="false">
      <c r="A292" s="3" t="s">
        <v>1259</v>
      </c>
      <c r="B292" s="3" t="s">
        <v>1260</v>
      </c>
      <c r="C292" s="3" t="n">
        <v>221055</v>
      </c>
      <c r="D292" s="3" t="s">
        <v>1286</v>
      </c>
      <c r="E292" s="18" t="n">
        <v>45173</v>
      </c>
      <c r="F292" s="3" t="s">
        <v>1262</v>
      </c>
      <c r="G292" s="3" t="s">
        <v>5</v>
      </c>
      <c r="H292" s="19"/>
      <c r="I292" s="19"/>
      <c r="J292" s="20"/>
      <c r="K292" s="20"/>
      <c r="L292" s="19"/>
      <c r="M292" s="19"/>
      <c r="N292" s="19"/>
      <c r="O292" s="20"/>
      <c r="P292" s="20"/>
    </row>
    <row r="293" customFormat="false" ht="14.25" hidden="false" customHeight="true" outlineLevel="0" collapsed="false">
      <c r="A293" s="3" t="s">
        <v>1259</v>
      </c>
      <c r="B293" s="3" t="s">
        <v>1260</v>
      </c>
      <c r="C293" s="3" t="n">
        <v>221055</v>
      </c>
      <c r="D293" s="3" t="s">
        <v>1363</v>
      </c>
      <c r="E293" s="18" t="n">
        <v>45173</v>
      </c>
      <c r="F293" s="3" t="s">
        <v>1262</v>
      </c>
      <c r="G293" s="3" t="s">
        <v>1275</v>
      </c>
      <c r="H293" s="19"/>
      <c r="I293" s="19"/>
      <c r="J293" s="20"/>
      <c r="K293" s="20"/>
      <c r="L293" s="19"/>
      <c r="M293" s="19"/>
      <c r="N293" s="19"/>
      <c r="O293" s="20"/>
      <c r="P293" s="20"/>
    </row>
    <row r="294" customFormat="false" ht="14.25" hidden="false" customHeight="true" outlineLevel="0" collapsed="false">
      <c r="A294" s="3" t="s">
        <v>1259</v>
      </c>
      <c r="B294" s="3" t="s">
        <v>1260</v>
      </c>
      <c r="C294" s="3" t="n">
        <v>221055</v>
      </c>
      <c r="D294" s="3" t="s">
        <v>1287</v>
      </c>
      <c r="E294" s="18" t="n">
        <v>45187</v>
      </c>
      <c r="F294" s="3" t="s">
        <v>1262</v>
      </c>
      <c r="G294" s="3" t="s">
        <v>5</v>
      </c>
      <c r="H294" s="19"/>
      <c r="I294" s="19"/>
      <c r="J294" s="20"/>
      <c r="K294" s="20"/>
      <c r="L294" s="19"/>
      <c r="M294" s="19"/>
      <c r="N294" s="19"/>
      <c r="O294" s="20"/>
      <c r="P294" s="20"/>
    </row>
    <row r="295" customFormat="false" ht="14.25" hidden="false" customHeight="true" outlineLevel="0" collapsed="false">
      <c r="A295" s="3" t="s">
        <v>1259</v>
      </c>
      <c r="B295" s="3" t="s">
        <v>1260</v>
      </c>
      <c r="C295" s="3" t="n">
        <v>221055</v>
      </c>
      <c r="D295" s="3" t="s">
        <v>1288</v>
      </c>
      <c r="E295" s="18" t="n">
        <v>45204</v>
      </c>
      <c r="F295" s="3" t="s">
        <v>1262</v>
      </c>
      <c r="G295" s="3" t="s">
        <v>5</v>
      </c>
      <c r="H295" s="19"/>
      <c r="I295" s="19"/>
      <c r="J295" s="20"/>
      <c r="K295" s="20"/>
      <c r="L295" s="19"/>
      <c r="M295" s="19"/>
      <c r="N295" s="19"/>
      <c r="O295" s="20"/>
      <c r="P295" s="20"/>
    </row>
    <row r="296" customFormat="false" ht="14.25" hidden="false" customHeight="true" outlineLevel="0" collapsed="false">
      <c r="A296" s="3" t="s">
        <v>1259</v>
      </c>
      <c r="B296" s="3" t="s">
        <v>1260</v>
      </c>
      <c r="C296" s="3" t="n">
        <v>221055</v>
      </c>
      <c r="D296" s="3" t="s">
        <v>1289</v>
      </c>
      <c r="E296" s="18" t="n">
        <v>45215</v>
      </c>
      <c r="F296" s="3" t="s">
        <v>1262</v>
      </c>
      <c r="G296" s="3" t="s">
        <v>5</v>
      </c>
      <c r="H296" s="19"/>
      <c r="I296" s="19"/>
      <c r="J296" s="20"/>
      <c r="K296" s="20"/>
      <c r="L296" s="19"/>
      <c r="M296" s="19"/>
      <c r="N296" s="19"/>
      <c r="O296" s="20"/>
      <c r="P296" s="20"/>
    </row>
    <row r="297" customFormat="false" ht="14.25" hidden="false" customHeight="true" outlineLevel="0" collapsed="false">
      <c r="A297" s="3" t="s">
        <v>1259</v>
      </c>
      <c r="B297" s="3" t="s">
        <v>1260</v>
      </c>
      <c r="C297" s="3" t="n">
        <v>221055</v>
      </c>
      <c r="D297" s="3" t="s">
        <v>1290</v>
      </c>
      <c r="E297" s="18" t="n">
        <v>45229</v>
      </c>
      <c r="F297" s="3" t="s">
        <v>1262</v>
      </c>
      <c r="G297" s="3" t="s">
        <v>5</v>
      </c>
      <c r="H297" s="19"/>
      <c r="I297" s="19"/>
      <c r="J297" s="20"/>
      <c r="K297" s="20"/>
      <c r="L297" s="19"/>
      <c r="M297" s="19"/>
      <c r="N297" s="19"/>
      <c r="O297" s="20"/>
      <c r="P297" s="20"/>
    </row>
    <row r="298" customFormat="false" ht="14.25" hidden="false" customHeight="true" outlineLevel="0" collapsed="false">
      <c r="A298" s="3" t="s">
        <v>1259</v>
      </c>
      <c r="B298" s="3" t="s">
        <v>1260</v>
      </c>
      <c r="C298" s="3" t="n">
        <v>221055</v>
      </c>
      <c r="D298" s="3" t="s">
        <v>1364</v>
      </c>
      <c r="E298" s="18" t="n">
        <v>45229</v>
      </c>
      <c r="F298" s="3" t="s">
        <v>1262</v>
      </c>
      <c r="G298" s="3" t="s">
        <v>1275</v>
      </c>
      <c r="H298" s="19"/>
      <c r="I298" s="19"/>
      <c r="J298" s="20"/>
      <c r="K298" s="20"/>
      <c r="L298" s="19"/>
      <c r="M298" s="19"/>
      <c r="N298" s="19"/>
      <c r="O298" s="20"/>
      <c r="P298" s="20"/>
    </row>
    <row r="299" customFormat="false" ht="14.25" hidden="false" customHeight="true" outlineLevel="0" collapsed="false">
      <c r="A299" s="3" t="s">
        <v>1259</v>
      </c>
      <c r="B299" s="3" t="s">
        <v>1260</v>
      </c>
      <c r="C299" s="3" t="n">
        <v>221055</v>
      </c>
      <c r="D299" s="3" t="s">
        <v>1292</v>
      </c>
      <c r="E299" s="18" t="n">
        <v>45243</v>
      </c>
      <c r="F299" s="3" t="s">
        <v>1262</v>
      </c>
      <c r="G299" s="3" t="s">
        <v>5</v>
      </c>
      <c r="H299" s="19"/>
      <c r="I299" s="19"/>
      <c r="J299" s="20"/>
      <c r="K299" s="20"/>
      <c r="L299" s="19"/>
      <c r="M299" s="19"/>
      <c r="N299" s="19"/>
      <c r="O299" s="20"/>
      <c r="P299" s="20"/>
    </row>
    <row r="300" customFormat="false" ht="14.25" hidden="false" customHeight="true" outlineLevel="0" collapsed="false">
      <c r="A300" s="3" t="s">
        <v>1259</v>
      </c>
      <c r="B300" s="3" t="s">
        <v>1260</v>
      </c>
      <c r="C300" s="3" t="n">
        <v>221055</v>
      </c>
      <c r="D300" s="3" t="s">
        <v>1293</v>
      </c>
      <c r="E300" s="18" t="n">
        <v>45258</v>
      </c>
      <c r="F300" s="3" t="s">
        <v>1262</v>
      </c>
      <c r="G300" s="3" t="s">
        <v>5</v>
      </c>
      <c r="H300" s="19"/>
      <c r="I300" s="19"/>
      <c r="J300" s="20"/>
      <c r="K300" s="20"/>
      <c r="L300" s="19"/>
      <c r="M300" s="19"/>
      <c r="N300" s="19"/>
      <c r="O300" s="20"/>
      <c r="P300" s="20"/>
    </row>
    <row r="301" customFormat="false" ht="14.25" hidden="false" customHeight="true" outlineLevel="0" collapsed="false">
      <c r="A301" s="3" t="s">
        <v>1259</v>
      </c>
      <c r="B301" s="3" t="s">
        <v>1260</v>
      </c>
      <c r="C301" s="3" t="n">
        <v>221055</v>
      </c>
      <c r="D301" s="3" t="s">
        <v>1294</v>
      </c>
      <c r="E301" s="18" t="n">
        <v>45272</v>
      </c>
      <c r="F301" s="3" t="s">
        <v>1262</v>
      </c>
      <c r="G301" s="3" t="s">
        <v>5</v>
      </c>
      <c r="H301" s="19"/>
      <c r="I301" s="19"/>
      <c r="J301" s="20"/>
      <c r="K301" s="20"/>
      <c r="L301" s="19"/>
      <c r="M301" s="19"/>
      <c r="N301" s="19"/>
      <c r="O301" s="20"/>
      <c r="P301" s="20"/>
    </row>
    <row r="302" customFormat="false" ht="14.25" hidden="false" customHeight="true" outlineLevel="0" collapsed="false">
      <c r="A302" s="3" t="s">
        <v>1259</v>
      </c>
      <c r="B302" s="3" t="s">
        <v>1260</v>
      </c>
      <c r="C302" s="3" t="n">
        <v>221055</v>
      </c>
      <c r="D302" s="3" t="s">
        <v>1295</v>
      </c>
      <c r="E302" s="18" t="n">
        <v>45286</v>
      </c>
      <c r="F302" s="3" t="s">
        <v>1262</v>
      </c>
      <c r="G302" s="3" t="s">
        <v>5</v>
      </c>
      <c r="H302" s="19"/>
      <c r="I302" s="19"/>
      <c r="J302" s="20"/>
      <c r="K302" s="20"/>
      <c r="L302" s="19"/>
      <c r="M302" s="19"/>
      <c r="N302" s="19"/>
      <c r="O302" s="20"/>
      <c r="P302" s="20"/>
    </row>
    <row r="303" customFormat="false" ht="14.25" hidden="false" customHeight="true" outlineLevel="0" collapsed="false">
      <c r="A303" s="3" t="s">
        <v>1259</v>
      </c>
      <c r="B303" s="3" t="s">
        <v>1260</v>
      </c>
      <c r="C303" s="3" t="n">
        <v>221055</v>
      </c>
      <c r="D303" s="3" t="s">
        <v>1365</v>
      </c>
      <c r="E303" s="18" t="n">
        <v>45286</v>
      </c>
      <c r="F303" s="3" t="s">
        <v>1262</v>
      </c>
      <c r="G303" s="3" t="s">
        <v>1275</v>
      </c>
      <c r="H303" s="19"/>
      <c r="I303" s="19"/>
      <c r="J303" s="20"/>
      <c r="K303" s="20"/>
      <c r="L303" s="19"/>
      <c r="M303" s="19"/>
      <c r="N303" s="19"/>
      <c r="O303" s="20"/>
      <c r="P303" s="20"/>
    </row>
    <row r="304" customFormat="false" ht="14.25" hidden="false" customHeight="true" outlineLevel="0" collapsed="false">
      <c r="A304" s="3" t="s">
        <v>1259</v>
      </c>
      <c r="B304" s="3" t="s">
        <v>1260</v>
      </c>
      <c r="C304" s="3" t="n">
        <v>221055</v>
      </c>
      <c r="D304" s="3" t="s">
        <v>1297</v>
      </c>
      <c r="E304" s="18" t="n">
        <v>45299</v>
      </c>
      <c r="F304" s="3" t="s">
        <v>1262</v>
      </c>
      <c r="G304" s="3" t="s">
        <v>5</v>
      </c>
      <c r="H304" s="19"/>
      <c r="I304" s="19"/>
      <c r="J304" s="20"/>
      <c r="K304" s="20"/>
      <c r="L304" s="19"/>
      <c r="M304" s="19"/>
      <c r="N304" s="19"/>
      <c r="O304" s="20"/>
      <c r="P304" s="20"/>
    </row>
    <row r="305" customFormat="false" ht="14.25" hidden="false" customHeight="true" outlineLevel="0" collapsed="false">
      <c r="A305" s="3" t="s">
        <v>1259</v>
      </c>
      <c r="B305" s="3" t="s">
        <v>1260</v>
      </c>
      <c r="C305" s="3" t="n">
        <v>221055</v>
      </c>
      <c r="D305" s="3" t="s">
        <v>1298</v>
      </c>
      <c r="E305" s="18" t="n">
        <v>45314</v>
      </c>
      <c r="F305" s="3" t="s">
        <v>1262</v>
      </c>
      <c r="G305" s="3" t="s">
        <v>5</v>
      </c>
      <c r="H305" s="19"/>
      <c r="I305" s="19"/>
      <c r="J305" s="20"/>
      <c r="K305" s="20"/>
      <c r="L305" s="19"/>
      <c r="M305" s="19"/>
      <c r="N305" s="19"/>
      <c r="O305" s="20"/>
      <c r="P305" s="20"/>
    </row>
    <row r="306" customFormat="false" ht="14.25" hidden="false" customHeight="true" outlineLevel="0" collapsed="false">
      <c r="A306" s="3" t="s">
        <v>1259</v>
      </c>
      <c r="B306" s="3" t="s">
        <v>1260</v>
      </c>
      <c r="C306" s="3" t="n">
        <v>221055</v>
      </c>
      <c r="D306" s="3" t="s">
        <v>1299</v>
      </c>
      <c r="E306" s="18" t="n">
        <v>45327</v>
      </c>
      <c r="F306" s="3" t="s">
        <v>1262</v>
      </c>
      <c r="G306" s="3" t="s">
        <v>5</v>
      </c>
      <c r="H306" s="19"/>
      <c r="I306" s="19"/>
      <c r="J306" s="20"/>
      <c r="K306" s="20"/>
      <c r="L306" s="19"/>
      <c r="M306" s="19"/>
      <c r="N306" s="19"/>
      <c r="O306" s="20"/>
      <c r="P306" s="20"/>
    </row>
    <row r="307" customFormat="false" ht="14.25" hidden="false" customHeight="true" outlineLevel="0" collapsed="false">
      <c r="A307" s="3" t="s">
        <v>1259</v>
      </c>
      <c r="B307" s="3" t="s">
        <v>1260</v>
      </c>
      <c r="C307" s="3" t="n">
        <v>221055</v>
      </c>
      <c r="D307" s="3" t="s">
        <v>1300</v>
      </c>
      <c r="E307" s="18" t="n">
        <v>45341</v>
      </c>
      <c r="F307" s="3" t="s">
        <v>1262</v>
      </c>
      <c r="G307" s="3" t="s">
        <v>5</v>
      </c>
      <c r="H307" s="19"/>
      <c r="I307" s="19"/>
      <c r="J307" s="20"/>
      <c r="K307" s="20"/>
      <c r="L307" s="19"/>
      <c r="M307" s="19"/>
      <c r="N307" s="19"/>
      <c r="O307" s="20"/>
      <c r="P307" s="20"/>
    </row>
    <row r="308" customFormat="false" ht="14.25" hidden="false" customHeight="true" outlineLevel="0" collapsed="false">
      <c r="A308" s="3" t="s">
        <v>1259</v>
      </c>
      <c r="B308" s="3" t="s">
        <v>1260</v>
      </c>
      <c r="C308" s="3" t="n">
        <v>221055</v>
      </c>
      <c r="D308" s="3" t="s">
        <v>1366</v>
      </c>
      <c r="E308" s="18" t="n">
        <v>45341</v>
      </c>
      <c r="F308" s="3" t="s">
        <v>1262</v>
      </c>
      <c r="G308" s="3" t="s">
        <v>1275</v>
      </c>
      <c r="H308" s="19"/>
      <c r="I308" s="19"/>
      <c r="J308" s="20"/>
      <c r="K308" s="20"/>
      <c r="L308" s="19"/>
      <c r="M308" s="19"/>
      <c r="N308" s="19"/>
      <c r="O308" s="20"/>
      <c r="P308" s="20"/>
    </row>
    <row r="309" customFormat="false" ht="14.25" hidden="false" customHeight="true" outlineLevel="0" collapsed="false">
      <c r="A309" s="3" t="s">
        <v>1259</v>
      </c>
      <c r="B309" s="3" t="s">
        <v>1260</v>
      </c>
      <c r="C309" s="3" t="n">
        <v>221055</v>
      </c>
      <c r="D309" s="3" t="s">
        <v>1302</v>
      </c>
      <c r="E309" s="18" t="n">
        <v>45355</v>
      </c>
      <c r="F309" s="3" t="s">
        <v>1262</v>
      </c>
      <c r="G309" s="3" t="s">
        <v>5</v>
      </c>
      <c r="H309" s="19"/>
      <c r="I309" s="19"/>
      <c r="J309" s="20"/>
      <c r="K309" s="20"/>
      <c r="L309" s="19"/>
      <c r="M309" s="19"/>
      <c r="N309" s="19"/>
      <c r="O309" s="20"/>
      <c r="P309" s="20"/>
    </row>
    <row r="310" customFormat="false" ht="14.25" hidden="false" customHeight="true" outlineLevel="0" collapsed="false">
      <c r="A310" s="3" t="s">
        <v>1259</v>
      </c>
      <c r="B310" s="3" t="s">
        <v>1260</v>
      </c>
      <c r="C310" s="3" t="n">
        <v>221055</v>
      </c>
      <c r="D310" s="3" t="s">
        <v>1367</v>
      </c>
      <c r="E310" s="18" t="n">
        <v>45362</v>
      </c>
      <c r="F310" s="3" t="s">
        <v>1262</v>
      </c>
      <c r="G310" s="3" t="s">
        <v>1268</v>
      </c>
      <c r="H310" s="19"/>
      <c r="I310" s="19"/>
      <c r="J310" s="20"/>
      <c r="K310" s="20"/>
      <c r="L310" s="19"/>
      <c r="M310" s="19"/>
      <c r="N310" s="19"/>
      <c r="O310" s="20"/>
      <c r="P310" s="20"/>
    </row>
    <row r="311" customFormat="false" ht="14.25" hidden="false" customHeight="true" outlineLevel="0" collapsed="false">
      <c r="A311" s="3" t="s">
        <v>1259</v>
      </c>
      <c r="B311" s="3" t="s">
        <v>1260</v>
      </c>
      <c r="C311" s="3" t="n">
        <v>221055</v>
      </c>
      <c r="D311" s="3" t="s">
        <v>1303</v>
      </c>
      <c r="E311" s="18" t="n">
        <v>45369</v>
      </c>
      <c r="F311" s="3" t="s">
        <v>1262</v>
      </c>
      <c r="G311" s="3" t="s">
        <v>5</v>
      </c>
      <c r="H311" s="19"/>
      <c r="I311" s="19"/>
      <c r="J311" s="20"/>
      <c r="K311" s="20"/>
      <c r="L311" s="19"/>
      <c r="M311" s="19"/>
      <c r="N311" s="19"/>
      <c r="O311" s="20"/>
      <c r="P311" s="20"/>
    </row>
    <row r="312" customFormat="false" ht="14.25" hidden="false" customHeight="true" outlineLevel="0" collapsed="false">
      <c r="A312" s="3" t="s">
        <v>1259</v>
      </c>
      <c r="B312" s="3" t="s">
        <v>1260</v>
      </c>
      <c r="C312" s="3" t="n">
        <v>221055</v>
      </c>
      <c r="D312" s="3" t="s">
        <v>1304</v>
      </c>
      <c r="E312" s="18" t="n">
        <v>45384</v>
      </c>
      <c r="F312" s="3" t="s">
        <v>1262</v>
      </c>
      <c r="G312" s="3" t="s">
        <v>5</v>
      </c>
      <c r="H312" s="19"/>
      <c r="I312" s="19"/>
      <c r="J312" s="20"/>
      <c r="K312" s="20"/>
      <c r="L312" s="19"/>
      <c r="M312" s="19"/>
      <c r="N312" s="19"/>
      <c r="O312" s="20"/>
      <c r="P312" s="20"/>
    </row>
    <row r="313" customFormat="false" ht="14.25" hidden="false" customHeight="true" outlineLevel="0" collapsed="false">
      <c r="A313" s="3" t="s">
        <v>1259</v>
      </c>
      <c r="B313" s="3" t="s">
        <v>1260</v>
      </c>
      <c r="C313" s="3" t="n">
        <v>221055</v>
      </c>
      <c r="D313" s="3" t="s">
        <v>1305</v>
      </c>
      <c r="E313" s="18" t="n">
        <v>45397</v>
      </c>
      <c r="F313" s="3" t="s">
        <v>1262</v>
      </c>
      <c r="G313" s="3" t="s">
        <v>5</v>
      </c>
      <c r="H313" s="19"/>
      <c r="I313" s="19"/>
      <c r="J313" s="20"/>
      <c r="K313" s="20"/>
      <c r="L313" s="19"/>
      <c r="M313" s="19"/>
      <c r="N313" s="19"/>
      <c r="O313" s="20"/>
      <c r="P313" s="20"/>
    </row>
    <row r="314" customFormat="false" ht="14.25" hidden="false" customHeight="true" outlineLevel="0" collapsed="false">
      <c r="A314" s="3" t="s">
        <v>1259</v>
      </c>
      <c r="B314" s="3" t="s">
        <v>1260</v>
      </c>
      <c r="C314" s="3" t="n">
        <v>221055</v>
      </c>
      <c r="D314" s="3" t="s">
        <v>1368</v>
      </c>
      <c r="E314" s="18" t="n">
        <v>45397</v>
      </c>
      <c r="F314" s="3" t="s">
        <v>1262</v>
      </c>
      <c r="G314" s="3" t="s">
        <v>1275</v>
      </c>
      <c r="H314" s="19"/>
      <c r="I314" s="19"/>
      <c r="J314" s="20"/>
      <c r="K314" s="20"/>
      <c r="L314" s="19"/>
      <c r="M314" s="19"/>
      <c r="N314" s="19"/>
      <c r="O314" s="20"/>
      <c r="P314" s="20"/>
    </row>
    <row r="315" customFormat="false" ht="14.25" hidden="false" customHeight="true" outlineLevel="0" collapsed="false">
      <c r="A315" s="3" t="s">
        <v>1259</v>
      </c>
      <c r="B315" s="3" t="s">
        <v>1260</v>
      </c>
      <c r="C315" s="3" t="n">
        <v>221055</v>
      </c>
      <c r="D315" s="3" t="s">
        <v>1307</v>
      </c>
      <c r="E315" s="18" t="n">
        <v>45411</v>
      </c>
      <c r="F315" s="3" t="s">
        <v>1262</v>
      </c>
      <c r="G315" s="3" t="s">
        <v>5</v>
      </c>
      <c r="H315" s="19"/>
      <c r="I315" s="19"/>
      <c r="J315" s="20"/>
      <c r="K315" s="20"/>
      <c r="L315" s="19"/>
      <c r="M315" s="19"/>
      <c r="N315" s="19"/>
      <c r="O315" s="20"/>
      <c r="P315" s="20"/>
    </row>
    <row r="316" customFormat="false" ht="14.25" hidden="false" customHeight="true" outlineLevel="0" collapsed="false">
      <c r="A316" s="3" t="s">
        <v>1259</v>
      </c>
      <c r="B316" s="3" t="s">
        <v>1260</v>
      </c>
      <c r="C316" s="3" t="n">
        <v>221055</v>
      </c>
      <c r="D316" s="3" t="s">
        <v>1308</v>
      </c>
      <c r="E316" s="18" t="n">
        <v>45425</v>
      </c>
      <c r="F316" s="3" t="s">
        <v>1262</v>
      </c>
      <c r="G316" s="3" t="s">
        <v>5</v>
      </c>
      <c r="H316" s="19"/>
      <c r="I316" s="19"/>
      <c r="J316" s="20"/>
      <c r="K316" s="20"/>
      <c r="L316" s="19"/>
      <c r="M316" s="19"/>
      <c r="N316" s="19"/>
      <c r="O316" s="20"/>
      <c r="P316" s="20"/>
    </row>
    <row r="317" customFormat="false" ht="14.25" hidden="false" customHeight="true" outlineLevel="0" collapsed="false">
      <c r="A317" s="3" t="s">
        <v>1259</v>
      </c>
      <c r="B317" s="3" t="s">
        <v>1260</v>
      </c>
      <c r="C317" s="3" t="n">
        <v>221055</v>
      </c>
      <c r="D317" s="3" t="s">
        <v>1309</v>
      </c>
      <c r="E317" s="18" t="n">
        <v>45439</v>
      </c>
      <c r="F317" s="3" t="s">
        <v>1262</v>
      </c>
      <c r="G317" s="3" t="s">
        <v>5</v>
      </c>
      <c r="H317" s="19"/>
      <c r="I317" s="19"/>
      <c r="J317" s="20"/>
      <c r="K317" s="20"/>
      <c r="L317" s="19"/>
      <c r="M317" s="19"/>
      <c r="N317" s="19"/>
      <c r="O317" s="20"/>
      <c r="P317" s="20"/>
    </row>
    <row r="318" customFormat="false" ht="14.25" hidden="false" customHeight="true" outlineLevel="0" collapsed="false">
      <c r="A318" s="3" t="s">
        <v>1259</v>
      </c>
      <c r="B318" s="3" t="s">
        <v>1260</v>
      </c>
      <c r="C318" s="3" t="n">
        <v>221056</v>
      </c>
      <c r="D318" s="3" t="s">
        <v>1261</v>
      </c>
      <c r="E318" s="18" t="n">
        <v>44992</v>
      </c>
      <c r="F318" s="3" t="s">
        <v>1262</v>
      </c>
      <c r="G318" s="3" t="s">
        <v>5</v>
      </c>
      <c r="H318" s="19" t="n">
        <v>44992</v>
      </c>
      <c r="I318" s="19" t="n">
        <v>44796</v>
      </c>
      <c r="J318" s="20" t="n">
        <v>82</v>
      </c>
      <c r="K318" s="20" t="s">
        <v>1313</v>
      </c>
      <c r="L318" s="19" t="s">
        <v>12</v>
      </c>
      <c r="M318" s="19"/>
      <c r="N318" s="19"/>
      <c r="O318" s="20"/>
      <c r="P318" s="20"/>
    </row>
    <row r="319" customFormat="false" ht="14.25" hidden="false" customHeight="true" outlineLevel="0" collapsed="false">
      <c r="A319" s="3" t="s">
        <v>1259</v>
      </c>
      <c r="B319" s="3" t="s">
        <v>1260</v>
      </c>
      <c r="C319" s="3" t="n">
        <v>221056</v>
      </c>
      <c r="D319" s="3" t="s">
        <v>1264</v>
      </c>
      <c r="E319" s="18" t="n">
        <v>45006</v>
      </c>
      <c r="F319" s="3" t="s">
        <v>1262</v>
      </c>
      <c r="G319" s="3" t="s">
        <v>5</v>
      </c>
      <c r="H319" s="19"/>
      <c r="I319" s="19"/>
      <c r="J319" s="20"/>
      <c r="K319" s="20"/>
      <c r="L319" s="19"/>
      <c r="M319" s="19"/>
      <c r="N319" s="19"/>
      <c r="O319" s="20"/>
      <c r="P319" s="20"/>
    </row>
    <row r="320" customFormat="false" ht="14.25" hidden="false" customHeight="true" outlineLevel="0" collapsed="false">
      <c r="A320" s="3" t="s">
        <v>1259</v>
      </c>
      <c r="B320" s="3" t="s">
        <v>1260</v>
      </c>
      <c r="C320" s="3" t="n">
        <v>221056</v>
      </c>
      <c r="D320" s="3" t="s">
        <v>1265</v>
      </c>
      <c r="E320" s="18" t="n">
        <v>45008</v>
      </c>
      <c r="F320" s="3" t="s">
        <v>1262</v>
      </c>
      <c r="G320" s="3" t="s">
        <v>5</v>
      </c>
      <c r="H320" s="19"/>
      <c r="I320" s="19"/>
      <c r="J320" s="20"/>
      <c r="K320" s="20"/>
      <c r="L320" s="19"/>
      <c r="M320" s="19"/>
      <c r="N320" s="19"/>
      <c r="O320" s="20"/>
      <c r="P320" s="20"/>
    </row>
    <row r="321" customFormat="false" ht="14.25" hidden="false" customHeight="true" outlineLevel="0" collapsed="false">
      <c r="A321" s="3" t="s">
        <v>1259</v>
      </c>
      <c r="B321" s="3" t="s">
        <v>1260</v>
      </c>
      <c r="C321" s="3" t="n">
        <v>221056</v>
      </c>
      <c r="D321" s="3" t="s">
        <v>1266</v>
      </c>
      <c r="E321" s="18" t="n">
        <v>45013</v>
      </c>
      <c r="F321" s="3" t="s">
        <v>1262</v>
      </c>
      <c r="G321" s="3" t="s">
        <v>5</v>
      </c>
      <c r="H321" s="19"/>
      <c r="I321" s="19"/>
      <c r="J321" s="20"/>
      <c r="K321" s="20"/>
      <c r="L321" s="19"/>
      <c r="M321" s="19"/>
      <c r="N321" s="19"/>
      <c r="O321" s="20"/>
      <c r="P321" s="20"/>
    </row>
    <row r="322" customFormat="false" ht="14.25" hidden="false" customHeight="true" outlineLevel="0" collapsed="false">
      <c r="A322" s="3" t="s">
        <v>1259</v>
      </c>
      <c r="B322" s="3" t="s">
        <v>1260</v>
      </c>
      <c r="C322" s="3" t="n">
        <v>221056</v>
      </c>
      <c r="D322" s="3" t="s">
        <v>1269</v>
      </c>
      <c r="E322" s="18" t="n">
        <v>45020</v>
      </c>
      <c r="F322" s="3" t="s">
        <v>1262</v>
      </c>
      <c r="G322" s="3" t="s">
        <v>5</v>
      </c>
      <c r="H322" s="19"/>
      <c r="I322" s="19"/>
      <c r="J322" s="20"/>
      <c r="K322" s="20"/>
      <c r="L322" s="19"/>
      <c r="M322" s="19"/>
      <c r="N322" s="19"/>
      <c r="O322" s="20"/>
      <c r="P322" s="20"/>
    </row>
    <row r="323" customFormat="false" ht="14.25" hidden="false" customHeight="true" outlineLevel="0" collapsed="false">
      <c r="A323" s="3" t="s">
        <v>1259</v>
      </c>
      <c r="B323" s="3" t="s">
        <v>1260</v>
      </c>
      <c r="C323" s="3" t="n">
        <v>221056</v>
      </c>
      <c r="D323" s="3" t="s">
        <v>1270</v>
      </c>
      <c r="E323" s="18" t="n">
        <v>45027</v>
      </c>
      <c r="F323" s="3" t="s">
        <v>1262</v>
      </c>
      <c r="G323" s="3" t="s">
        <v>5</v>
      </c>
      <c r="H323" s="19"/>
      <c r="I323" s="19"/>
      <c r="J323" s="20"/>
      <c r="K323" s="20"/>
      <c r="L323" s="19"/>
      <c r="M323" s="19"/>
      <c r="N323" s="19"/>
      <c r="O323" s="20"/>
      <c r="P323" s="20"/>
    </row>
    <row r="324" customFormat="false" ht="14.25" hidden="false" customHeight="true" outlineLevel="0" collapsed="false">
      <c r="A324" s="3" t="s">
        <v>1259</v>
      </c>
      <c r="B324" s="3" t="s">
        <v>1260</v>
      </c>
      <c r="C324" s="3" t="n">
        <v>221056</v>
      </c>
      <c r="D324" s="3" t="s">
        <v>1271</v>
      </c>
      <c r="E324" s="18" t="n">
        <v>45034</v>
      </c>
      <c r="F324" s="3" t="s">
        <v>1262</v>
      </c>
      <c r="G324" s="3" t="s">
        <v>5</v>
      </c>
      <c r="H324" s="19"/>
      <c r="I324" s="19"/>
      <c r="J324" s="20"/>
      <c r="K324" s="20"/>
      <c r="L324" s="19"/>
      <c r="M324" s="19"/>
      <c r="N324" s="19"/>
      <c r="O324" s="20"/>
      <c r="P324" s="20"/>
    </row>
    <row r="325" customFormat="false" ht="14.25" hidden="false" customHeight="true" outlineLevel="0" collapsed="false">
      <c r="A325" s="3" t="s">
        <v>1259</v>
      </c>
      <c r="B325" s="3" t="s">
        <v>1260</v>
      </c>
      <c r="C325" s="3" t="n">
        <v>221056</v>
      </c>
      <c r="D325" s="3" t="s">
        <v>1272</v>
      </c>
      <c r="E325" s="18" t="n">
        <v>45036</v>
      </c>
      <c r="F325" s="3" t="s">
        <v>1262</v>
      </c>
      <c r="G325" s="3" t="s">
        <v>5</v>
      </c>
      <c r="H325" s="19"/>
      <c r="I325" s="19"/>
      <c r="J325" s="20"/>
      <c r="K325" s="20"/>
      <c r="L325" s="19"/>
      <c r="M325" s="19"/>
      <c r="N325" s="19"/>
      <c r="O325" s="20"/>
      <c r="P325" s="20"/>
    </row>
    <row r="326" customFormat="false" ht="14.25" hidden="false" customHeight="true" outlineLevel="0" collapsed="false">
      <c r="A326" s="3" t="s">
        <v>1259</v>
      </c>
      <c r="B326" s="3" t="s">
        <v>1260</v>
      </c>
      <c r="C326" s="3" t="n">
        <v>221056</v>
      </c>
      <c r="D326" s="3" t="s">
        <v>1273</v>
      </c>
      <c r="E326" s="18" t="n">
        <v>45048</v>
      </c>
      <c r="F326" s="3" t="s">
        <v>1262</v>
      </c>
      <c r="G326" s="3" t="s">
        <v>5</v>
      </c>
      <c r="H326" s="19"/>
      <c r="I326" s="19"/>
      <c r="J326" s="20"/>
      <c r="K326" s="20"/>
      <c r="L326" s="19"/>
      <c r="M326" s="19"/>
      <c r="N326" s="19"/>
      <c r="O326" s="20"/>
      <c r="P326" s="20"/>
    </row>
    <row r="327" customFormat="false" ht="14.25" hidden="false" customHeight="true" outlineLevel="0" collapsed="false">
      <c r="A327" s="3" t="s">
        <v>1259</v>
      </c>
      <c r="B327" s="3" t="s">
        <v>1260</v>
      </c>
      <c r="C327" s="3" t="n">
        <v>221056</v>
      </c>
      <c r="D327" s="3" t="s">
        <v>1276</v>
      </c>
      <c r="E327" s="18" t="n">
        <v>45061</v>
      </c>
      <c r="F327" s="3" t="s">
        <v>1262</v>
      </c>
      <c r="G327" s="3" t="s">
        <v>5</v>
      </c>
      <c r="H327" s="19"/>
      <c r="I327" s="19"/>
      <c r="J327" s="20"/>
      <c r="K327" s="20"/>
      <c r="L327" s="19"/>
      <c r="M327" s="19"/>
      <c r="N327" s="19"/>
      <c r="O327" s="20"/>
      <c r="P327" s="20"/>
    </row>
    <row r="328" customFormat="false" ht="14.25" hidden="false" customHeight="true" outlineLevel="0" collapsed="false">
      <c r="A328" s="3" t="s">
        <v>1259</v>
      </c>
      <c r="B328" s="3" t="s">
        <v>1260</v>
      </c>
      <c r="C328" s="3" t="n">
        <v>221056</v>
      </c>
      <c r="D328" s="3" t="s">
        <v>1369</v>
      </c>
      <c r="E328" s="18" t="n">
        <v>45061</v>
      </c>
      <c r="F328" s="3" t="s">
        <v>1262</v>
      </c>
      <c r="G328" s="3" t="s">
        <v>1275</v>
      </c>
      <c r="H328" s="19"/>
      <c r="I328" s="19"/>
      <c r="J328" s="20"/>
      <c r="K328" s="20"/>
      <c r="L328" s="19"/>
      <c r="M328" s="19"/>
      <c r="N328" s="19"/>
      <c r="O328" s="20"/>
      <c r="P328" s="20"/>
    </row>
    <row r="329" customFormat="false" ht="14.25" hidden="false" customHeight="true" outlineLevel="0" collapsed="false">
      <c r="A329" s="3" t="s">
        <v>1259</v>
      </c>
      <c r="B329" s="3" t="s">
        <v>1260</v>
      </c>
      <c r="C329" s="3" t="n">
        <v>221056</v>
      </c>
      <c r="D329" s="3" t="s">
        <v>1370</v>
      </c>
      <c r="E329" s="18" t="n">
        <v>45069</v>
      </c>
      <c r="F329" s="3" t="s">
        <v>1262</v>
      </c>
      <c r="G329" s="3" t="s">
        <v>1268</v>
      </c>
      <c r="H329" s="19"/>
      <c r="I329" s="19"/>
      <c r="J329" s="20"/>
      <c r="K329" s="20"/>
      <c r="L329" s="19"/>
      <c r="M329" s="19"/>
      <c r="N329" s="19"/>
      <c r="O329" s="20"/>
      <c r="P329" s="20"/>
    </row>
    <row r="330" customFormat="false" ht="14.25" hidden="false" customHeight="true" outlineLevel="0" collapsed="false">
      <c r="A330" s="3" t="s">
        <v>1259</v>
      </c>
      <c r="B330" s="3" t="s">
        <v>1260</v>
      </c>
      <c r="C330" s="3" t="n">
        <v>221056</v>
      </c>
      <c r="D330" s="3" t="s">
        <v>1277</v>
      </c>
      <c r="E330" s="18" t="n">
        <v>45076</v>
      </c>
      <c r="F330" s="3" t="s">
        <v>1262</v>
      </c>
      <c r="G330" s="3" t="s">
        <v>5</v>
      </c>
      <c r="H330" s="19"/>
      <c r="I330" s="19"/>
      <c r="J330" s="20"/>
      <c r="K330" s="20"/>
      <c r="L330" s="19"/>
      <c r="M330" s="19"/>
      <c r="N330" s="19"/>
      <c r="O330" s="20"/>
      <c r="P330" s="20"/>
    </row>
    <row r="331" customFormat="false" ht="14.25" hidden="false" customHeight="true" outlineLevel="0" collapsed="false">
      <c r="A331" s="3" t="s">
        <v>1259</v>
      </c>
      <c r="B331" s="3" t="s">
        <v>1260</v>
      </c>
      <c r="C331" s="3" t="n">
        <v>221056</v>
      </c>
      <c r="D331" s="3" t="s">
        <v>1278</v>
      </c>
      <c r="E331" s="18" t="n">
        <v>45090</v>
      </c>
      <c r="F331" s="3" t="s">
        <v>1262</v>
      </c>
      <c r="G331" s="3" t="s">
        <v>5</v>
      </c>
      <c r="H331" s="19"/>
      <c r="I331" s="19"/>
      <c r="J331" s="20"/>
      <c r="K331" s="20"/>
      <c r="L331" s="19"/>
      <c r="M331" s="19"/>
      <c r="N331" s="19"/>
      <c r="O331" s="20"/>
      <c r="P331" s="20"/>
    </row>
    <row r="332" customFormat="false" ht="14.25" hidden="false" customHeight="true" outlineLevel="0" collapsed="false">
      <c r="A332" s="3" t="s">
        <v>1259</v>
      </c>
      <c r="B332" s="3" t="s">
        <v>1260</v>
      </c>
      <c r="C332" s="3" t="n">
        <v>221056</v>
      </c>
      <c r="D332" s="3" t="s">
        <v>1279</v>
      </c>
      <c r="E332" s="18" t="n">
        <v>45104</v>
      </c>
      <c r="F332" s="3" t="s">
        <v>1262</v>
      </c>
      <c r="G332" s="3" t="s">
        <v>5</v>
      </c>
      <c r="H332" s="19"/>
      <c r="I332" s="19"/>
      <c r="J332" s="20"/>
      <c r="K332" s="20"/>
      <c r="L332" s="19"/>
      <c r="M332" s="19"/>
      <c r="N332" s="19"/>
      <c r="O332" s="20"/>
      <c r="P332" s="20"/>
    </row>
    <row r="333" customFormat="false" ht="14.25" hidden="false" customHeight="true" outlineLevel="0" collapsed="false">
      <c r="A333" s="3" t="s">
        <v>1259</v>
      </c>
      <c r="B333" s="3" t="s">
        <v>1260</v>
      </c>
      <c r="C333" s="3" t="n">
        <v>221056</v>
      </c>
      <c r="D333" s="3" t="s">
        <v>1281</v>
      </c>
      <c r="E333" s="18" t="n">
        <v>45118</v>
      </c>
      <c r="F333" s="3" t="s">
        <v>1262</v>
      </c>
      <c r="G333" s="3" t="s">
        <v>5</v>
      </c>
      <c r="H333" s="19"/>
      <c r="I333" s="19"/>
      <c r="J333" s="20"/>
      <c r="K333" s="20"/>
      <c r="L333" s="19"/>
      <c r="M333" s="19"/>
      <c r="N333" s="19"/>
      <c r="O333" s="20"/>
      <c r="P333" s="20"/>
    </row>
    <row r="334" customFormat="false" ht="14.25" hidden="false" customHeight="true" outlineLevel="0" collapsed="false">
      <c r="A334" s="3" t="s">
        <v>1259</v>
      </c>
      <c r="B334" s="3" t="s">
        <v>1260</v>
      </c>
      <c r="C334" s="3" t="n">
        <v>221056</v>
      </c>
      <c r="D334" s="3" t="s">
        <v>1371</v>
      </c>
      <c r="E334" s="18" t="n">
        <v>45118</v>
      </c>
      <c r="F334" s="3" t="s">
        <v>1262</v>
      </c>
      <c r="G334" s="3" t="s">
        <v>1275</v>
      </c>
      <c r="H334" s="19"/>
      <c r="I334" s="19"/>
      <c r="J334" s="20"/>
      <c r="K334" s="20"/>
      <c r="L334" s="19"/>
      <c r="M334" s="19"/>
      <c r="N334" s="19"/>
      <c r="O334" s="20"/>
      <c r="P334" s="20"/>
    </row>
    <row r="335" customFormat="false" ht="14.25" hidden="false" customHeight="true" outlineLevel="0" collapsed="false">
      <c r="A335" s="3" t="s">
        <v>1259</v>
      </c>
      <c r="B335" s="3" t="s">
        <v>1260</v>
      </c>
      <c r="C335" s="3" t="n">
        <v>221056</v>
      </c>
      <c r="D335" s="3" t="s">
        <v>1282</v>
      </c>
      <c r="E335" s="18" t="n">
        <v>45132</v>
      </c>
      <c r="F335" s="3" t="s">
        <v>1262</v>
      </c>
      <c r="G335" s="3" t="s">
        <v>5</v>
      </c>
      <c r="H335" s="19"/>
      <c r="I335" s="19"/>
      <c r="J335" s="20"/>
      <c r="K335" s="20"/>
      <c r="L335" s="19"/>
      <c r="M335" s="19"/>
      <c r="N335" s="19"/>
      <c r="O335" s="20"/>
      <c r="P335" s="20"/>
    </row>
    <row r="336" customFormat="false" ht="14.25" hidden="false" customHeight="true" outlineLevel="0" collapsed="false">
      <c r="A336" s="3" t="s">
        <v>1259</v>
      </c>
      <c r="B336" s="3" t="s">
        <v>1260</v>
      </c>
      <c r="C336" s="3" t="n">
        <v>221056</v>
      </c>
      <c r="D336" s="3" t="s">
        <v>1283</v>
      </c>
      <c r="E336" s="18" t="n">
        <v>45146</v>
      </c>
      <c r="F336" s="3" t="s">
        <v>1262</v>
      </c>
      <c r="G336" s="3" t="s">
        <v>5</v>
      </c>
      <c r="H336" s="19"/>
      <c r="I336" s="19"/>
      <c r="J336" s="20"/>
      <c r="K336" s="20"/>
      <c r="L336" s="19"/>
      <c r="M336" s="19"/>
      <c r="N336" s="19"/>
      <c r="O336" s="20"/>
      <c r="P336" s="20"/>
    </row>
    <row r="337" customFormat="false" ht="14.25" hidden="false" customHeight="true" outlineLevel="0" collapsed="false">
      <c r="A337" s="3" t="s">
        <v>1259</v>
      </c>
      <c r="B337" s="3" t="s">
        <v>1260</v>
      </c>
      <c r="C337" s="3" t="n">
        <v>221056</v>
      </c>
      <c r="D337" s="3" t="s">
        <v>1284</v>
      </c>
      <c r="E337" s="18" t="n">
        <v>45160</v>
      </c>
      <c r="F337" s="3" t="s">
        <v>1262</v>
      </c>
      <c r="G337" s="3" t="s">
        <v>5</v>
      </c>
      <c r="H337" s="19"/>
      <c r="I337" s="19"/>
      <c r="J337" s="20"/>
      <c r="K337" s="20"/>
      <c r="L337" s="19"/>
      <c r="M337" s="19"/>
      <c r="N337" s="19"/>
      <c r="O337" s="20"/>
      <c r="P337" s="20"/>
    </row>
    <row r="338" customFormat="false" ht="14.25" hidden="false" customHeight="true" outlineLevel="0" collapsed="false">
      <c r="A338" s="3" t="s">
        <v>1259</v>
      </c>
      <c r="B338" s="3" t="s">
        <v>1260</v>
      </c>
      <c r="C338" s="3" t="n">
        <v>221056</v>
      </c>
      <c r="D338" s="3" t="s">
        <v>1286</v>
      </c>
      <c r="E338" s="18" t="n">
        <v>45174</v>
      </c>
      <c r="F338" s="3" t="s">
        <v>1262</v>
      </c>
      <c r="G338" s="3" t="s">
        <v>5</v>
      </c>
      <c r="H338" s="19"/>
      <c r="I338" s="19"/>
      <c r="J338" s="20"/>
      <c r="K338" s="20"/>
      <c r="L338" s="19"/>
      <c r="M338" s="19"/>
      <c r="N338" s="19"/>
      <c r="O338" s="20"/>
      <c r="P338" s="20"/>
    </row>
    <row r="339" customFormat="false" ht="14.25" hidden="false" customHeight="true" outlineLevel="0" collapsed="false">
      <c r="A339" s="3" t="s">
        <v>1259</v>
      </c>
      <c r="B339" s="3" t="s">
        <v>1260</v>
      </c>
      <c r="C339" s="3" t="n">
        <v>221056</v>
      </c>
      <c r="D339" s="3" t="s">
        <v>1372</v>
      </c>
      <c r="E339" s="18" t="n">
        <v>45174</v>
      </c>
      <c r="F339" s="3" t="s">
        <v>1262</v>
      </c>
      <c r="G339" s="3" t="s">
        <v>1275</v>
      </c>
      <c r="H339" s="19"/>
      <c r="I339" s="19"/>
      <c r="J339" s="20"/>
      <c r="K339" s="20"/>
      <c r="L339" s="19"/>
      <c r="M339" s="19"/>
      <c r="N339" s="19"/>
      <c r="O339" s="20"/>
      <c r="P339" s="20"/>
    </row>
    <row r="340" customFormat="false" ht="14.25" hidden="false" customHeight="true" outlineLevel="0" collapsed="false">
      <c r="A340" s="3" t="s">
        <v>1259</v>
      </c>
      <c r="B340" s="3" t="s">
        <v>1260</v>
      </c>
      <c r="C340" s="3" t="n">
        <v>221056</v>
      </c>
      <c r="D340" s="3" t="s">
        <v>1287</v>
      </c>
      <c r="E340" s="18" t="n">
        <v>45188</v>
      </c>
      <c r="F340" s="3" t="s">
        <v>1262</v>
      </c>
      <c r="G340" s="3" t="s">
        <v>5</v>
      </c>
      <c r="H340" s="19"/>
      <c r="I340" s="19"/>
      <c r="J340" s="20"/>
      <c r="K340" s="20"/>
      <c r="L340" s="19"/>
      <c r="M340" s="19"/>
      <c r="N340" s="19"/>
      <c r="O340" s="20"/>
      <c r="P340" s="20"/>
    </row>
    <row r="341" customFormat="false" ht="14.25" hidden="false" customHeight="true" outlineLevel="0" collapsed="false">
      <c r="A341" s="3" t="s">
        <v>1259</v>
      </c>
      <c r="B341" s="3" t="s">
        <v>1260</v>
      </c>
      <c r="C341" s="3" t="n">
        <v>221056</v>
      </c>
      <c r="D341" s="3" t="s">
        <v>1288</v>
      </c>
      <c r="E341" s="18" t="n">
        <v>45204</v>
      </c>
      <c r="F341" s="3" t="s">
        <v>1262</v>
      </c>
      <c r="G341" s="3" t="s">
        <v>5</v>
      </c>
      <c r="H341" s="19"/>
      <c r="I341" s="19"/>
      <c r="J341" s="20"/>
      <c r="K341" s="20"/>
      <c r="L341" s="19"/>
      <c r="M341" s="19"/>
      <c r="N341" s="19"/>
      <c r="O341" s="20"/>
      <c r="P341" s="20"/>
    </row>
    <row r="342" customFormat="false" ht="14.25" hidden="false" customHeight="true" outlineLevel="0" collapsed="false">
      <c r="A342" s="3" t="s">
        <v>1259</v>
      </c>
      <c r="B342" s="3" t="s">
        <v>1260</v>
      </c>
      <c r="C342" s="3" t="n">
        <v>221056</v>
      </c>
      <c r="D342" s="3" t="s">
        <v>1289</v>
      </c>
      <c r="E342" s="18" t="n">
        <v>45216</v>
      </c>
      <c r="F342" s="3" t="s">
        <v>1262</v>
      </c>
      <c r="G342" s="3" t="s">
        <v>5</v>
      </c>
      <c r="H342" s="19"/>
      <c r="I342" s="19"/>
      <c r="J342" s="20"/>
      <c r="K342" s="20"/>
      <c r="L342" s="19"/>
      <c r="M342" s="19"/>
      <c r="N342" s="19"/>
      <c r="O342" s="20"/>
      <c r="P342" s="20"/>
    </row>
    <row r="343" customFormat="false" ht="14.25" hidden="false" customHeight="true" outlineLevel="0" collapsed="false">
      <c r="A343" s="3" t="s">
        <v>1259</v>
      </c>
      <c r="B343" s="3" t="s">
        <v>1260</v>
      </c>
      <c r="C343" s="3" t="n">
        <v>221056</v>
      </c>
      <c r="D343" s="3" t="s">
        <v>1290</v>
      </c>
      <c r="E343" s="18" t="n">
        <v>45230</v>
      </c>
      <c r="F343" s="3" t="s">
        <v>1262</v>
      </c>
      <c r="G343" s="3" t="s">
        <v>5</v>
      </c>
      <c r="H343" s="19"/>
      <c r="I343" s="19"/>
      <c r="J343" s="20"/>
      <c r="K343" s="20"/>
      <c r="L343" s="19"/>
      <c r="M343" s="19"/>
      <c r="N343" s="19"/>
      <c r="O343" s="20"/>
      <c r="P343" s="20"/>
    </row>
    <row r="344" customFormat="false" ht="14.25" hidden="false" customHeight="true" outlineLevel="0" collapsed="false">
      <c r="A344" s="3" t="s">
        <v>1259</v>
      </c>
      <c r="B344" s="3" t="s">
        <v>1260</v>
      </c>
      <c r="C344" s="3" t="n">
        <v>221056</v>
      </c>
      <c r="D344" s="3" t="s">
        <v>1373</v>
      </c>
      <c r="E344" s="18" t="n">
        <v>45230</v>
      </c>
      <c r="F344" s="3" t="s">
        <v>1262</v>
      </c>
      <c r="G344" s="3" t="s">
        <v>1275</v>
      </c>
      <c r="H344" s="19"/>
      <c r="I344" s="19"/>
      <c r="J344" s="20"/>
      <c r="K344" s="20"/>
      <c r="L344" s="19"/>
      <c r="M344" s="19"/>
      <c r="N344" s="19"/>
      <c r="O344" s="20"/>
      <c r="P344" s="20"/>
    </row>
    <row r="345" customFormat="false" ht="14.25" hidden="false" customHeight="true" outlineLevel="0" collapsed="false">
      <c r="A345" s="3" t="s">
        <v>1259</v>
      </c>
      <c r="B345" s="3" t="s">
        <v>1260</v>
      </c>
      <c r="C345" s="3" t="n">
        <v>221056</v>
      </c>
      <c r="D345" s="3" t="s">
        <v>1292</v>
      </c>
      <c r="E345" s="18" t="n">
        <v>45244</v>
      </c>
      <c r="F345" s="3" t="s">
        <v>1262</v>
      </c>
      <c r="G345" s="3" t="s">
        <v>5</v>
      </c>
      <c r="H345" s="19"/>
      <c r="I345" s="19"/>
      <c r="J345" s="20"/>
      <c r="K345" s="20"/>
      <c r="L345" s="19"/>
      <c r="M345" s="19"/>
      <c r="N345" s="19"/>
      <c r="O345" s="20"/>
      <c r="P345" s="20"/>
    </row>
    <row r="346" customFormat="false" ht="14.25" hidden="false" customHeight="true" outlineLevel="0" collapsed="false">
      <c r="A346" s="3" t="s">
        <v>1259</v>
      </c>
      <c r="B346" s="3" t="s">
        <v>1260</v>
      </c>
      <c r="C346" s="3" t="n">
        <v>221056</v>
      </c>
      <c r="D346" s="3" t="s">
        <v>1293</v>
      </c>
      <c r="E346" s="18" t="n">
        <v>45258</v>
      </c>
      <c r="F346" s="3" t="s">
        <v>1262</v>
      </c>
      <c r="G346" s="3" t="s">
        <v>5</v>
      </c>
      <c r="H346" s="19"/>
      <c r="I346" s="19"/>
      <c r="J346" s="20"/>
      <c r="K346" s="20"/>
      <c r="L346" s="19"/>
      <c r="M346" s="19"/>
      <c r="N346" s="19"/>
      <c r="O346" s="20"/>
      <c r="P346" s="20"/>
    </row>
    <row r="347" customFormat="false" ht="14.25" hidden="false" customHeight="true" outlineLevel="0" collapsed="false">
      <c r="A347" s="3" t="s">
        <v>1259</v>
      </c>
      <c r="B347" s="3" t="s">
        <v>1260</v>
      </c>
      <c r="C347" s="3" t="n">
        <v>221056</v>
      </c>
      <c r="D347" s="3" t="s">
        <v>1294</v>
      </c>
      <c r="E347" s="18" t="n">
        <v>45272</v>
      </c>
      <c r="F347" s="3" t="s">
        <v>1262</v>
      </c>
      <c r="G347" s="3" t="s">
        <v>5</v>
      </c>
      <c r="H347" s="19"/>
      <c r="I347" s="19"/>
      <c r="J347" s="20"/>
      <c r="K347" s="20"/>
      <c r="L347" s="19"/>
      <c r="M347" s="19"/>
      <c r="N347" s="19"/>
      <c r="O347" s="20"/>
      <c r="P347" s="20"/>
    </row>
    <row r="348" customFormat="false" ht="14.25" hidden="false" customHeight="true" outlineLevel="0" collapsed="false">
      <c r="A348" s="3" t="s">
        <v>1259</v>
      </c>
      <c r="B348" s="3" t="s">
        <v>1260</v>
      </c>
      <c r="C348" s="3" t="n">
        <v>221056</v>
      </c>
      <c r="D348" s="3" t="s">
        <v>1295</v>
      </c>
      <c r="E348" s="18" t="n">
        <v>45286</v>
      </c>
      <c r="F348" s="3" t="s">
        <v>1262</v>
      </c>
      <c r="G348" s="3" t="s">
        <v>5</v>
      </c>
      <c r="H348" s="19"/>
      <c r="I348" s="19"/>
      <c r="J348" s="20"/>
      <c r="K348" s="20"/>
      <c r="L348" s="19"/>
      <c r="M348" s="19"/>
      <c r="N348" s="19"/>
      <c r="O348" s="20"/>
      <c r="P348" s="20"/>
    </row>
    <row r="349" customFormat="false" ht="14.25" hidden="false" customHeight="true" outlineLevel="0" collapsed="false">
      <c r="A349" s="3" t="s">
        <v>1259</v>
      </c>
      <c r="B349" s="3" t="s">
        <v>1260</v>
      </c>
      <c r="C349" s="3" t="n">
        <v>221056</v>
      </c>
      <c r="D349" s="3" t="s">
        <v>1365</v>
      </c>
      <c r="E349" s="18" t="n">
        <v>45286</v>
      </c>
      <c r="F349" s="3" t="s">
        <v>1262</v>
      </c>
      <c r="G349" s="3" t="s">
        <v>1275</v>
      </c>
      <c r="H349" s="19"/>
      <c r="I349" s="19"/>
      <c r="J349" s="20"/>
      <c r="K349" s="20"/>
      <c r="L349" s="19"/>
      <c r="M349" s="19"/>
      <c r="N349" s="19"/>
      <c r="O349" s="20"/>
      <c r="P349" s="20"/>
    </row>
    <row r="350" customFormat="false" ht="14.25" hidden="false" customHeight="true" outlineLevel="0" collapsed="false">
      <c r="A350" s="3" t="s">
        <v>1259</v>
      </c>
      <c r="B350" s="3" t="s">
        <v>1260</v>
      </c>
      <c r="C350" s="3" t="n">
        <v>221056</v>
      </c>
      <c r="D350" s="3" t="s">
        <v>1297</v>
      </c>
      <c r="E350" s="18" t="n">
        <v>45300</v>
      </c>
      <c r="F350" s="3" t="s">
        <v>1262</v>
      </c>
      <c r="G350" s="3" t="s">
        <v>5</v>
      </c>
      <c r="H350" s="19"/>
      <c r="I350" s="19"/>
      <c r="J350" s="20"/>
      <c r="K350" s="20"/>
      <c r="L350" s="19"/>
      <c r="M350" s="19"/>
      <c r="N350" s="19"/>
      <c r="O350" s="20"/>
      <c r="P350" s="20"/>
    </row>
    <row r="351" customFormat="false" ht="14.25" hidden="false" customHeight="true" outlineLevel="0" collapsed="false">
      <c r="A351" s="3" t="s">
        <v>1259</v>
      </c>
      <c r="B351" s="3" t="s">
        <v>1260</v>
      </c>
      <c r="C351" s="3" t="n">
        <v>221056</v>
      </c>
      <c r="D351" s="3" t="s">
        <v>1298</v>
      </c>
      <c r="E351" s="18" t="n">
        <v>45314</v>
      </c>
      <c r="F351" s="3" t="s">
        <v>1262</v>
      </c>
      <c r="G351" s="3" t="s">
        <v>5</v>
      </c>
      <c r="H351" s="19"/>
      <c r="I351" s="19"/>
      <c r="J351" s="20"/>
      <c r="K351" s="20"/>
      <c r="L351" s="19"/>
      <c r="M351" s="19"/>
      <c r="N351" s="19"/>
      <c r="O351" s="20"/>
      <c r="P351" s="20"/>
    </row>
    <row r="352" customFormat="false" ht="14.25" hidden="false" customHeight="true" outlineLevel="0" collapsed="false">
      <c r="A352" s="3" t="s">
        <v>1259</v>
      </c>
      <c r="B352" s="3" t="s">
        <v>1260</v>
      </c>
      <c r="C352" s="3" t="n">
        <v>221056</v>
      </c>
      <c r="D352" s="3" t="s">
        <v>1299</v>
      </c>
      <c r="E352" s="18" t="n">
        <v>45328</v>
      </c>
      <c r="F352" s="3" t="s">
        <v>1262</v>
      </c>
      <c r="G352" s="3" t="s">
        <v>5</v>
      </c>
      <c r="H352" s="19"/>
      <c r="I352" s="19"/>
      <c r="J352" s="20"/>
      <c r="K352" s="20"/>
      <c r="L352" s="19"/>
      <c r="M352" s="19"/>
      <c r="N352" s="19"/>
      <c r="O352" s="20"/>
      <c r="P352" s="20"/>
    </row>
    <row r="353" customFormat="false" ht="14.25" hidden="false" customHeight="true" outlineLevel="0" collapsed="false">
      <c r="A353" s="3" t="s">
        <v>1259</v>
      </c>
      <c r="B353" s="3" t="s">
        <v>1260</v>
      </c>
      <c r="C353" s="3" t="n">
        <v>221056</v>
      </c>
      <c r="D353" s="3" t="s">
        <v>1300</v>
      </c>
      <c r="E353" s="18" t="n">
        <v>45342</v>
      </c>
      <c r="F353" s="3" t="s">
        <v>1262</v>
      </c>
      <c r="G353" s="3" t="s">
        <v>5</v>
      </c>
      <c r="H353" s="19"/>
      <c r="I353" s="19"/>
      <c r="J353" s="20"/>
      <c r="K353" s="20"/>
      <c r="L353" s="19"/>
      <c r="M353" s="19"/>
      <c r="N353" s="19"/>
      <c r="O353" s="20"/>
      <c r="P353" s="20"/>
    </row>
    <row r="354" customFormat="false" ht="14.25" hidden="false" customHeight="true" outlineLevel="0" collapsed="false">
      <c r="A354" s="3" t="s">
        <v>1259</v>
      </c>
      <c r="B354" s="3" t="s">
        <v>1260</v>
      </c>
      <c r="C354" s="3" t="n">
        <v>221056</v>
      </c>
      <c r="D354" s="3" t="s">
        <v>1374</v>
      </c>
      <c r="E354" s="18" t="n">
        <v>45342</v>
      </c>
      <c r="F354" s="3" t="s">
        <v>1262</v>
      </c>
      <c r="G354" s="3" t="s">
        <v>1275</v>
      </c>
      <c r="H354" s="19"/>
      <c r="I354" s="19"/>
      <c r="J354" s="20"/>
      <c r="K354" s="20"/>
      <c r="L354" s="19"/>
      <c r="M354" s="19"/>
      <c r="N354" s="19"/>
      <c r="O354" s="20"/>
      <c r="P354" s="20"/>
    </row>
    <row r="355" customFormat="false" ht="14.25" hidden="false" customHeight="true" outlineLevel="0" collapsed="false">
      <c r="A355" s="3" t="s">
        <v>1259</v>
      </c>
      <c r="B355" s="3" t="s">
        <v>1260</v>
      </c>
      <c r="C355" s="3" t="n">
        <v>221056</v>
      </c>
      <c r="D355" s="3" t="s">
        <v>1302</v>
      </c>
      <c r="E355" s="18" t="n">
        <v>45356</v>
      </c>
      <c r="F355" s="3" t="s">
        <v>1262</v>
      </c>
      <c r="G355" s="3" t="s">
        <v>5</v>
      </c>
      <c r="H355" s="19"/>
      <c r="I355" s="19"/>
      <c r="J355" s="20"/>
      <c r="K355" s="20"/>
      <c r="L355" s="19"/>
      <c r="M355" s="19"/>
      <c r="N355" s="19"/>
      <c r="O355" s="20"/>
      <c r="P355" s="20"/>
    </row>
    <row r="356" customFormat="false" ht="14.25" hidden="false" customHeight="true" outlineLevel="0" collapsed="false">
      <c r="A356" s="3" t="s">
        <v>1259</v>
      </c>
      <c r="B356" s="3" t="s">
        <v>1260</v>
      </c>
      <c r="C356" s="3" t="n">
        <v>221056</v>
      </c>
      <c r="D356" s="3" t="s">
        <v>1303</v>
      </c>
      <c r="E356" s="18" t="n">
        <v>45370</v>
      </c>
      <c r="F356" s="3" t="s">
        <v>1262</v>
      </c>
      <c r="G356" s="3" t="s">
        <v>5</v>
      </c>
      <c r="H356" s="19"/>
      <c r="I356" s="19"/>
      <c r="J356" s="20"/>
      <c r="K356" s="20"/>
      <c r="L356" s="19"/>
      <c r="M356" s="19"/>
      <c r="N356" s="19"/>
      <c r="O356" s="20"/>
      <c r="P356" s="20"/>
    </row>
    <row r="357" customFormat="false" ht="14.25" hidden="false" customHeight="true" outlineLevel="0" collapsed="false">
      <c r="A357" s="3" t="s">
        <v>1259</v>
      </c>
      <c r="B357" s="3" t="s">
        <v>1260</v>
      </c>
      <c r="C357" s="3" t="n">
        <v>221056</v>
      </c>
      <c r="D357" s="3" t="s">
        <v>1304</v>
      </c>
      <c r="E357" s="18" t="n">
        <v>45384</v>
      </c>
      <c r="F357" s="3" t="s">
        <v>1262</v>
      </c>
      <c r="G357" s="3" t="s">
        <v>5</v>
      </c>
      <c r="H357" s="19"/>
      <c r="I357" s="19"/>
      <c r="J357" s="20"/>
      <c r="K357" s="20"/>
      <c r="L357" s="19"/>
      <c r="M357" s="19"/>
      <c r="N357" s="19"/>
      <c r="O357" s="20"/>
      <c r="P357" s="20"/>
    </row>
    <row r="358" customFormat="false" ht="14.25" hidden="false" customHeight="true" outlineLevel="0" collapsed="false">
      <c r="A358" s="3" t="s">
        <v>1259</v>
      </c>
      <c r="B358" s="3" t="s">
        <v>1260</v>
      </c>
      <c r="C358" s="3" t="n">
        <v>221056</v>
      </c>
      <c r="D358" s="3" t="s">
        <v>1305</v>
      </c>
      <c r="E358" s="18" t="n">
        <v>45398</v>
      </c>
      <c r="F358" s="3" t="s">
        <v>1262</v>
      </c>
      <c r="G358" s="3" t="s">
        <v>5</v>
      </c>
      <c r="H358" s="19"/>
      <c r="I358" s="19"/>
      <c r="J358" s="20"/>
      <c r="K358" s="20"/>
      <c r="L358" s="19"/>
      <c r="M358" s="19"/>
      <c r="N358" s="19"/>
      <c r="O358" s="20"/>
      <c r="P358" s="20"/>
    </row>
    <row r="359" customFormat="false" ht="14.25" hidden="false" customHeight="true" outlineLevel="0" collapsed="false">
      <c r="A359" s="3" t="s">
        <v>1259</v>
      </c>
      <c r="B359" s="3" t="s">
        <v>1260</v>
      </c>
      <c r="C359" s="3" t="n">
        <v>221056</v>
      </c>
      <c r="D359" s="3" t="s">
        <v>1375</v>
      </c>
      <c r="E359" s="18" t="n">
        <v>45398</v>
      </c>
      <c r="F359" s="3" t="s">
        <v>1262</v>
      </c>
      <c r="G359" s="3" t="s">
        <v>1275</v>
      </c>
      <c r="H359" s="19"/>
      <c r="I359" s="19"/>
      <c r="J359" s="20"/>
      <c r="K359" s="20"/>
      <c r="L359" s="19"/>
      <c r="M359" s="19"/>
      <c r="N359" s="19"/>
      <c r="O359" s="20"/>
      <c r="P359" s="20"/>
    </row>
    <row r="360" customFormat="false" ht="14.25" hidden="false" customHeight="true" outlineLevel="0" collapsed="false">
      <c r="A360" s="3" t="s">
        <v>1259</v>
      </c>
      <c r="B360" s="3" t="s">
        <v>1260</v>
      </c>
      <c r="C360" s="3" t="n">
        <v>221056</v>
      </c>
      <c r="D360" s="3" t="s">
        <v>1307</v>
      </c>
      <c r="E360" s="18" t="n">
        <v>45412</v>
      </c>
      <c r="F360" s="3" t="s">
        <v>1262</v>
      </c>
      <c r="G360" s="3" t="s">
        <v>5</v>
      </c>
      <c r="H360" s="19"/>
      <c r="I360" s="19"/>
      <c r="J360" s="20"/>
      <c r="K360" s="20"/>
      <c r="L360" s="19"/>
      <c r="M360" s="19"/>
      <c r="N360" s="19"/>
      <c r="O360" s="20"/>
      <c r="P360" s="20"/>
    </row>
    <row r="361" customFormat="false" ht="14.25" hidden="false" customHeight="true" outlineLevel="0" collapsed="false">
      <c r="A361" s="3" t="s">
        <v>1259</v>
      </c>
      <c r="B361" s="3" t="s">
        <v>1260</v>
      </c>
      <c r="C361" s="3" t="n">
        <v>221056</v>
      </c>
      <c r="D361" s="3" t="s">
        <v>1308</v>
      </c>
      <c r="E361" s="18" t="n">
        <v>45426</v>
      </c>
      <c r="F361" s="3" t="s">
        <v>1262</v>
      </c>
      <c r="G361" s="3" t="s">
        <v>5</v>
      </c>
      <c r="H361" s="19"/>
      <c r="I361" s="19"/>
      <c r="J361" s="20"/>
      <c r="K361" s="20"/>
      <c r="L361" s="19"/>
      <c r="M361" s="19"/>
      <c r="N361" s="19"/>
      <c r="O361" s="20"/>
      <c r="P361" s="20"/>
    </row>
    <row r="362" customFormat="false" ht="14.25" hidden="false" customHeight="true" outlineLevel="0" collapsed="false">
      <c r="A362" s="3" t="s">
        <v>1259</v>
      </c>
      <c r="B362" s="3" t="s">
        <v>1260</v>
      </c>
      <c r="C362" s="3" t="n">
        <v>221063</v>
      </c>
      <c r="D362" s="3" t="s">
        <v>1261</v>
      </c>
      <c r="E362" s="18" t="n">
        <v>44998</v>
      </c>
      <c r="F362" s="3" t="s">
        <v>1262</v>
      </c>
      <c r="G362" s="3" t="s">
        <v>5</v>
      </c>
      <c r="H362" s="19" t="n">
        <v>44998</v>
      </c>
      <c r="I362" s="19" t="n">
        <v>44796</v>
      </c>
      <c r="J362" s="20" t="n">
        <v>85</v>
      </c>
      <c r="K362" s="20" t="s">
        <v>1263</v>
      </c>
      <c r="L362" s="19" t="s">
        <v>12</v>
      </c>
      <c r="M362" s="19" t="s">
        <v>1334</v>
      </c>
      <c r="N362" s="19" t="n">
        <v>45096</v>
      </c>
      <c r="O362" s="20" t="s">
        <v>1354</v>
      </c>
      <c r="P362" s="20"/>
    </row>
    <row r="363" customFormat="false" ht="14.25" hidden="false" customHeight="true" outlineLevel="0" collapsed="false">
      <c r="A363" s="3" t="s">
        <v>1259</v>
      </c>
      <c r="B363" s="3" t="s">
        <v>1260</v>
      </c>
      <c r="C363" s="3" t="n">
        <v>221063</v>
      </c>
      <c r="D363" s="3" t="s">
        <v>1264</v>
      </c>
      <c r="E363" s="18" t="n">
        <v>45020</v>
      </c>
      <c r="F363" s="3" t="s">
        <v>1262</v>
      </c>
      <c r="G363" s="3" t="s">
        <v>5</v>
      </c>
      <c r="H363" s="19"/>
      <c r="I363" s="19"/>
      <c r="J363" s="20"/>
      <c r="K363" s="20"/>
      <c r="L363" s="19"/>
      <c r="M363" s="19"/>
      <c r="N363" s="19"/>
      <c r="O363" s="20"/>
      <c r="P363" s="20"/>
    </row>
    <row r="364" customFormat="false" ht="14.25" hidden="false" customHeight="true" outlineLevel="0" collapsed="false">
      <c r="A364" s="3" t="s">
        <v>1259</v>
      </c>
      <c r="B364" s="3" t="s">
        <v>1260</v>
      </c>
      <c r="C364" s="3" t="n">
        <v>221063</v>
      </c>
      <c r="D364" s="3" t="s">
        <v>1265</v>
      </c>
      <c r="E364" s="18" t="n">
        <v>45022</v>
      </c>
      <c r="F364" s="3" t="s">
        <v>1262</v>
      </c>
      <c r="G364" s="3" t="s">
        <v>5</v>
      </c>
      <c r="H364" s="19"/>
      <c r="I364" s="19"/>
      <c r="J364" s="20"/>
      <c r="K364" s="20"/>
      <c r="L364" s="19"/>
      <c r="M364" s="19"/>
      <c r="N364" s="19"/>
      <c r="O364" s="20"/>
      <c r="P364" s="20"/>
    </row>
    <row r="365" customFormat="false" ht="14.25" hidden="false" customHeight="true" outlineLevel="0" collapsed="false">
      <c r="A365" s="3" t="s">
        <v>1259</v>
      </c>
      <c r="B365" s="3" t="s">
        <v>1260</v>
      </c>
      <c r="C365" s="3" t="n">
        <v>221063</v>
      </c>
      <c r="D365" s="3" t="s">
        <v>1266</v>
      </c>
      <c r="E365" s="18" t="n">
        <v>45027</v>
      </c>
      <c r="F365" s="3" t="s">
        <v>1262</v>
      </c>
      <c r="G365" s="3" t="s">
        <v>5</v>
      </c>
      <c r="H365" s="19"/>
      <c r="I365" s="19"/>
      <c r="J365" s="20"/>
      <c r="K365" s="20"/>
      <c r="L365" s="19"/>
      <c r="M365" s="19"/>
      <c r="N365" s="19"/>
      <c r="O365" s="20"/>
      <c r="P365" s="20"/>
    </row>
    <row r="366" customFormat="false" ht="14.25" hidden="false" customHeight="true" outlineLevel="0" collapsed="false">
      <c r="A366" s="3" t="s">
        <v>1259</v>
      </c>
      <c r="B366" s="3" t="s">
        <v>1260</v>
      </c>
      <c r="C366" s="3" t="n">
        <v>221063</v>
      </c>
      <c r="D366" s="3" t="s">
        <v>1269</v>
      </c>
      <c r="E366" s="18" t="n">
        <v>45034</v>
      </c>
      <c r="F366" s="3" t="s">
        <v>1262</v>
      </c>
      <c r="G366" s="3" t="s">
        <v>5</v>
      </c>
      <c r="H366" s="19"/>
      <c r="I366" s="19"/>
      <c r="J366" s="20"/>
      <c r="K366" s="20"/>
      <c r="L366" s="19"/>
      <c r="M366" s="19"/>
      <c r="N366" s="19"/>
      <c r="O366" s="20"/>
      <c r="P366" s="20"/>
    </row>
    <row r="367" customFormat="false" ht="14.25" hidden="false" customHeight="true" outlineLevel="0" collapsed="false">
      <c r="A367" s="3" t="s">
        <v>1259</v>
      </c>
      <c r="B367" s="3" t="s">
        <v>1260</v>
      </c>
      <c r="C367" s="3" t="n">
        <v>221063</v>
      </c>
      <c r="D367" s="3" t="s">
        <v>1270</v>
      </c>
      <c r="E367" s="18" t="n">
        <v>45041</v>
      </c>
      <c r="F367" s="3" t="s">
        <v>1262</v>
      </c>
      <c r="G367" s="3" t="s">
        <v>5</v>
      </c>
      <c r="H367" s="19"/>
      <c r="I367" s="19"/>
      <c r="J367" s="20"/>
      <c r="K367" s="20"/>
      <c r="L367" s="19"/>
      <c r="M367" s="19"/>
      <c r="N367" s="19"/>
      <c r="O367" s="20"/>
      <c r="P367" s="20"/>
    </row>
    <row r="368" customFormat="false" ht="14.25" hidden="false" customHeight="true" outlineLevel="0" collapsed="false">
      <c r="A368" s="3" t="s">
        <v>1259</v>
      </c>
      <c r="B368" s="3" t="s">
        <v>1260</v>
      </c>
      <c r="C368" s="3" t="n">
        <v>221063</v>
      </c>
      <c r="D368" s="3" t="s">
        <v>1271</v>
      </c>
      <c r="E368" s="18" t="n">
        <v>45048</v>
      </c>
      <c r="F368" s="3" t="s">
        <v>1262</v>
      </c>
      <c r="G368" s="3" t="s">
        <v>5</v>
      </c>
      <c r="H368" s="19"/>
      <c r="I368" s="19"/>
      <c r="J368" s="20"/>
      <c r="K368" s="20"/>
      <c r="L368" s="19"/>
      <c r="M368" s="19"/>
      <c r="N368" s="19"/>
      <c r="O368" s="20"/>
      <c r="P368" s="20"/>
    </row>
    <row r="369" customFormat="false" ht="14.25" hidden="false" customHeight="true" outlineLevel="0" collapsed="false">
      <c r="A369" s="3" t="s">
        <v>1259</v>
      </c>
      <c r="B369" s="3" t="s">
        <v>1260</v>
      </c>
      <c r="C369" s="3" t="n">
        <v>221063</v>
      </c>
      <c r="D369" s="3" t="s">
        <v>1272</v>
      </c>
      <c r="E369" s="18" t="n">
        <v>45050</v>
      </c>
      <c r="F369" s="3" t="s">
        <v>1262</v>
      </c>
      <c r="G369" s="3" t="s">
        <v>5</v>
      </c>
      <c r="H369" s="19"/>
      <c r="I369" s="19"/>
      <c r="J369" s="20"/>
      <c r="K369" s="20"/>
      <c r="L369" s="19"/>
      <c r="M369" s="19"/>
      <c r="N369" s="19"/>
      <c r="O369" s="20"/>
      <c r="P369" s="20"/>
    </row>
    <row r="370" customFormat="false" ht="14.25" hidden="false" customHeight="true" outlineLevel="0" collapsed="false">
      <c r="A370" s="3" t="s">
        <v>1259</v>
      </c>
      <c r="B370" s="3" t="s">
        <v>1260</v>
      </c>
      <c r="C370" s="3" t="n">
        <v>221063</v>
      </c>
      <c r="D370" s="3" t="s">
        <v>1355</v>
      </c>
      <c r="E370" s="18" t="n">
        <v>45054</v>
      </c>
      <c r="F370" s="3" t="s">
        <v>1262</v>
      </c>
      <c r="G370" s="3" t="s">
        <v>1268</v>
      </c>
      <c r="H370" s="19"/>
      <c r="I370" s="19"/>
      <c r="J370" s="20"/>
      <c r="K370" s="20"/>
      <c r="L370" s="19"/>
      <c r="M370" s="19"/>
      <c r="N370" s="19"/>
      <c r="O370" s="20"/>
      <c r="P370" s="20"/>
    </row>
    <row r="371" customFormat="false" ht="14.25" hidden="false" customHeight="true" outlineLevel="0" collapsed="false">
      <c r="A371" s="3" t="s">
        <v>1259</v>
      </c>
      <c r="B371" s="3" t="s">
        <v>1260</v>
      </c>
      <c r="C371" s="3" t="n">
        <v>221063</v>
      </c>
      <c r="D371" s="3" t="s">
        <v>1338</v>
      </c>
      <c r="E371" s="18" t="n">
        <v>45099</v>
      </c>
      <c r="F371" s="3" t="s">
        <v>1262</v>
      </c>
      <c r="G371" s="3" t="s">
        <v>5</v>
      </c>
      <c r="H371" s="19"/>
      <c r="I371" s="19"/>
      <c r="J371" s="20"/>
      <c r="K371" s="20"/>
      <c r="L371" s="19"/>
      <c r="M371" s="19"/>
      <c r="N371" s="19"/>
      <c r="O371" s="20"/>
      <c r="P371" s="20"/>
    </row>
    <row r="372" customFormat="false" ht="14.25" hidden="false" customHeight="true" outlineLevel="0" collapsed="false">
      <c r="A372" s="3" t="s">
        <v>1259</v>
      </c>
      <c r="B372" s="3" t="s">
        <v>1260</v>
      </c>
      <c r="C372" s="3" t="n">
        <v>221063</v>
      </c>
      <c r="D372" s="3" t="s">
        <v>1376</v>
      </c>
      <c r="F372" s="3" t="s">
        <v>1262</v>
      </c>
      <c r="G372" s="3" t="s">
        <v>5</v>
      </c>
      <c r="H372" s="19"/>
      <c r="I372" s="19"/>
      <c r="J372" s="20"/>
      <c r="K372" s="20"/>
      <c r="L372" s="19"/>
      <c r="M372" s="19"/>
      <c r="N372" s="19"/>
      <c r="O372" s="20"/>
      <c r="P372" s="20"/>
    </row>
    <row r="373" customFormat="false" ht="14.25" hidden="false" customHeight="true" outlineLevel="0" collapsed="false">
      <c r="A373" s="3" t="s">
        <v>1259</v>
      </c>
      <c r="B373" s="3" t="s">
        <v>1260</v>
      </c>
      <c r="C373" s="3" t="n">
        <v>221067</v>
      </c>
      <c r="D373" s="3" t="s">
        <v>1377</v>
      </c>
      <c r="E373" s="18" t="n">
        <v>44943</v>
      </c>
      <c r="F373" s="3" t="s">
        <v>1262</v>
      </c>
      <c r="G373" s="3" t="s">
        <v>1268</v>
      </c>
      <c r="H373" s="19"/>
      <c r="I373" s="19"/>
      <c r="J373" s="20"/>
      <c r="K373" s="20"/>
      <c r="L373" s="19"/>
      <c r="M373" s="19"/>
      <c r="N373" s="19"/>
      <c r="O373" s="20"/>
      <c r="P373" s="20"/>
    </row>
    <row r="374" customFormat="false" ht="14.25" hidden="false" customHeight="true" outlineLevel="0" collapsed="false">
      <c r="A374" s="3" t="s">
        <v>1259</v>
      </c>
      <c r="B374" s="3" t="s">
        <v>1260</v>
      </c>
      <c r="C374" s="3" t="n">
        <v>221067</v>
      </c>
      <c r="D374" s="3" t="s">
        <v>1261</v>
      </c>
      <c r="E374" s="18" t="n">
        <v>44999</v>
      </c>
      <c r="F374" s="3" t="s">
        <v>1262</v>
      </c>
      <c r="G374" s="3" t="s">
        <v>5</v>
      </c>
      <c r="H374" s="19" t="n">
        <v>44999</v>
      </c>
      <c r="I374" s="19" t="n">
        <v>44796</v>
      </c>
      <c r="J374" s="20" t="n">
        <v>76</v>
      </c>
      <c r="K374" s="20" t="s">
        <v>1313</v>
      </c>
      <c r="L374" s="19" t="s">
        <v>12</v>
      </c>
      <c r="M374" s="19" t="s">
        <v>1334</v>
      </c>
      <c r="N374" s="19" t="n">
        <v>45084</v>
      </c>
      <c r="O374" s="20" t="s">
        <v>1378</v>
      </c>
      <c r="P374" s="20"/>
    </row>
    <row r="375" customFormat="false" ht="14.25" hidden="false" customHeight="true" outlineLevel="0" collapsed="false">
      <c r="A375" s="3" t="s">
        <v>1259</v>
      </c>
      <c r="B375" s="3" t="s">
        <v>1260</v>
      </c>
      <c r="C375" s="3" t="n">
        <v>221067</v>
      </c>
      <c r="D375" s="3" t="s">
        <v>1264</v>
      </c>
      <c r="E375" s="18" t="n">
        <v>45013</v>
      </c>
      <c r="F375" s="3" t="s">
        <v>1262</v>
      </c>
      <c r="G375" s="3" t="s">
        <v>5</v>
      </c>
      <c r="H375" s="19"/>
      <c r="I375" s="19"/>
      <c r="J375" s="20"/>
      <c r="K375" s="20"/>
      <c r="L375" s="19"/>
      <c r="M375" s="19"/>
      <c r="N375" s="19"/>
      <c r="O375" s="20"/>
      <c r="P375" s="20"/>
    </row>
    <row r="376" customFormat="false" ht="14.25" hidden="false" customHeight="true" outlineLevel="0" collapsed="false">
      <c r="A376" s="3" t="s">
        <v>1259</v>
      </c>
      <c r="B376" s="3" t="s">
        <v>1260</v>
      </c>
      <c r="C376" s="3" t="n">
        <v>221067</v>
      </c>
      <c r="D376" s="3" t="s">
        <v>1265</v>
      </c>
      <c r="E376" s="18" t="n">
        <v>45015</v>
      </c>
      <c r="F376" s="3" t="s">
        <v>1262</v>
      </c>
      <c r="G376" s="3" t="s">
        <v>5</v>
      </c>
      <c r="H376" s="19"/>
      <c r="I376" s="19"/>
      <c r="J376" s="20"/>
      <c r="K376" s="20"/>
      <c r="L376" s="19"/>
      <c r="M376" s="19"/>
      <c r="N376" s="19"/>
      <c r="O376" s="20"/>
      <c r="P376" s="20"/>
    </row>
    <row r="377" customFormat="false" ht="14.25" hidden="false" customHeight="true" outlineLevel="0" collapsed="false">
      <c r="A377" s="3" t="s">
        <v>1259</v>
      </c>
      <c r="B377" s="3" t="s">
        <v>1260</v>
      </c>
      <c r="C377" s="3" t="n">
        <v>221067</v>
      </c>
      <c r="D377" s="3" t="s">
        <v>1359</v>
      </c>
      <c r="E377" s="18" t="n">
        <v>45015</v>
      </c>
      <c r="F377" s="3" t="s">
        <v>1262</v>
      </c>
      <c r="G377" s="3" t="s">
        <v>1268</v>
      </c>
      <c r="H377" s="19"/>
      <c r="I377" s="19"/>
      <c r="J377" s="20"/>
      <c r="K377" s="20"/>
      <c r="L377" s="19"/>
      <c r="M377" s="19"/>
      <c r="N377" s="19"/>
      <c r="O377" s="20"/>
      <c r="P377" s="20"/>
    </row>
    <row r="378" customFormat="false" ht="14.25" hidden="false" customHeight="true" outlineLevel="0" collapsed="false">
      <c r="A378" s="3" t="s">
        <v>1259</v>
      </c>
      <c r="B378" s="3" t="s">
        <v>1260</v>
      </c>
      <c r="C378" s="3" t="n">
        <v>221067</v>
      </c>
      <c r="D378" s="3" t="s">
        <v>1266</v>
      </c>
      <c r="E378" s="18" t="n">
        <v>45019</v>
      </c>
      <c r="F378" s="3" t="s">
        <v>1262</v>
      </c>
      <c r="G378" s="3" t="s">
        <v>5</v>
      </c>
      <c r="H378" s="19"/>
      <c r="I378" s="19"/>
      <c r="J378" s="20"/>
      <c r="K378" s="20"/>
      <c r="L378" s="19"/>
      <c r="M378" s="19"/>
      <c r="N378" s="19"/>
      <c r="O378" s="20"/>
      <c r="P378" s="20"/>
    </row>
    <row r="379" customFormat="false" ht="14.25" hidden="false" customHeight="true" outlineLevel="0" collapsed="false">
      <c r="A379" s="3" t="s">
        <v>1259</v>
      </c>
      <c r="B379" s="3" t="s">
        <v>1260</v>
      </c>
      <c r="C379" s="3" t="n">
        <v>221067</v>
      </c>
      <c r="D379" s="3" t="s">
        <v>1269</v>
      </c>
      <c r="E379" s="18" t="n">
        <v>45026</v>
      </c>
      <c r="F379" s="3" t="s">
        <v>1262</v>
      </c>
      <c r="G379" s="3" t="s">
        <v>5</v>
      </c>
      <c r="H379" s="19"/>
      <c r="I379" s="19"/>
      <c r="J379" s="20"/>
      <c r="K379" s="20"/>
      <c r="L379" s="19"/>
      <c r="M379" s="19"/>
      <c r="N379" s="19"/>
      <c r="O379" s="20"/>
      <c r="P379" s="20"/>
    </row>
    <row r="380" customFormat="false" ht="14.25" hidden="false" customHeight="true" outlineLevel="0" collapsed="false">
      <c r="A380" s="3" t="s">
        <v>1259</v>
      </c>
      <c r="B380" s="3" t="s">
        <v>1260</v>
      </c>
      <c r="C380" s="3" t="n">
        <v>221067</v>
      </c>
      <c r="D380" s="3" t="s">
        <v>1270</v>
      </c>
      <c r="E380" s="18" t="n">
        <v>45034</v>
      </c>
      <c r="F380" s="3" t="s">
        <v>1262</v>
      </c>
      <c r="G380" s="3" t="s">
        <v>5</v>
      </c>
      <c r="H380" s="19"/>
      <c r="I380" s="19"/>
      <c r="J380" s="20"/>
      <c r="K380" s="20"/>
      <c r="L380" s="19"/>
      <c r="M380" s="19"/>
      <c r="N380" s="19"/>
      <c r="O380" s="20"/>
      <c r="P380" s="20"/>
    </row>
    <row r="381" customFormat="false" ht="14.25" hidden="false" customHeight="true" outlineLevel="0" collapsed="false">
      <c r="A381" s="3" t="s">
        <v>1259</v>
      </c>
      <c r="B381" s="3" t="s">
        <v>1260</v>
      </c>
      <c r="C381" s="3" t="n">
        <v>221067</v>
      </c>
      <c r="D381" s="3" t="s">
        <v>1271</v>
      </c>
      <c r="E381" s="18" t="n">
        <v>45041</v>
      </c>
      <c r="F381" s="3" t="s">
        <v>1262</v>
      </c>
      <c r="G381" s="3" t="s">
        <v>5</v>
      </c>
      <c r="H381" s="19"/>
      <c r="I381" s="19"/>
      <c r="J381" s="20"/>
      <c r="K381" s="20"/>
      <c r="L381" s="19"/>
      <c r="M381" s="19"/>
      <c r="N381" s="19"/>
      <c r="O381" s="20"/>
      <c r="P381" s="20"/>
    </row>
    <row r="382" customFormat="false" ht="14.25" hidden="false" customHeight="true" outlineLevel="0" collapsed="false">
      <c r="A382" s="3" t="s">
        <v>1259</v>
      </c>
      <c r="B382" s="3" t="s">
        <v>1260</v>
      </c>
      <c r="C382" s="3" t="n">
        <v>221067</v>
      </c>
      <c r="D382" s="3" t="s">
        <v>1272</v>
      </c>
      <c r="E382" s="18" t="n">
        <v>45043</v>
      </c>
      <c r="F382" s="3" t="s">
        <v>1262</v>
      </c>
      <c r="G382" s="3" t="s">
        <v>5</v>
      </c>
      <c r="H382" s="19"/>
      <c r="I382" s="19"/>
      <c r="J382" s="20"/>
      <c r="K382" s="20"/>
      <c r="L382" s="19"/>
      <c r="M382" s="19"/>
      <c r="N382" s="19"/>
      <c r="O382" s="20"/>
      <c r="P382" s="20"/>
    </row>
    <row r="383" customFormat="false" ht="14.25" hidden="false" customHeight="true" outlineLevel="0" collapsed="false">
      <c r="A383" s="3" t="s">
        <v>1259</v>
      </c>
      <c r="B383" s="3" t="s">
        <v>1260</v>
      </c>
      <c r="C383" s="3" t="n">
        <v>221067</v>
      </c>
      <c r="D383" s="3" t="s">
        <v>1273</v>
      </c>
      <c r="E383" s="18" t="n">
        <v>45054</v>
      </c>
      <c r="F383" s="3" t="s">
        <v>1262</v>
      </c>
      <c r="G383" s="3" t="s">
        <v>5</v>
      </c>
      <c r="H383" s="19"/>
      <c r="I383" s="19"/>
      <c r="J383" s="20"/>
      <c r="K383" s="20"/>
      <c r="L383" s="19"/>
      <c r="M383" s="19"/>
      <c r="N383" s="19"/>
      <c r="O383" s="20"/>
      <c r="P383" s="20"/>
    </row>
    <row r="384" customFormat="false" ht="14.25" hidden="false" customHeight="true" outlineLevel="0" collapsed="false">
      <c r="A384" s="3" t="s">
        <v>1259</v>
      </c>
      <c r="B384" s="3" t="s">
        <v>1260</v>
      </c>
      <c r="C384" s="3" t="n">
        <v>221067</v>
      </c>
      <c r="D384" s="3" t="s">
        <v>1379</v>
      </c>
      <c r="E384" s="18" t="n">
        <v>45068</v>
      </c>
      <c r="F384" s="3" t="s">
        <v>1262</v>
      </c>
      <c r="G384" s="3" t="s">
        <v>1275</v>
      </c>
      <c r="H384" s="19"/>
      <c r="I384" s="19"/>
      <c r="J384" s="20"/>
      <c r="K384" s="20"/>
      <c r="L384" s="19"/>
      <c r="M384" s="19"/>
      <c r="N384" s="19"/>
      <c r="O384" s="20"/>
      <c r="P384" s="20"/>
    </row>
    <row r="385" customFormat="false" ht="14.25" hidden="false" customHeight="true" outlineLevel="0" collapsed="false">
      <c r="A385" s="3" t="s">
        <v>1259</v>
      </c>
      <c r="B385" s="3" t="s">
        <v>1260</v>
      </c>
      <c r="C385" s="3" t="n">
        <v>221067</v>
      </c>
      <c r="D385" s="3" t="s">
        <v>1276</v>
      </c>
      <c r="E385" s="18" t="n">
        <v>45070</v>
      </c>
      <c r="F385" s="3" t="s">
        <v>1262</v>
      </c>
      <c r="G385" s="3" t="s">
        <v>5</v>
      </c>
      <c r="H385" s="19"/>
      <c r="I385" s="19"/>
      <c r="J385" s="20"/>
      <c r="K385" s="20"/>
      <c r="L385" s="19"/>
      <c r="M385" s="19"/>
      <c r="N385" s="19"/>
      <c r="O385" s="20"/>
      <c r="P385" s="20"/>
    </row>
    <row r="386" customFormat="false" ht="14.25" hidden="false" customHeight="true" outlineLevel="0" collapsed="false">
      <c r="A386" s="3" t="s">
        <v>1259</v>
      </c>
      <c r="B386" s="3" t="s">
        <v>1260</v>
      </c>
      <c r="C386" s="3" t="n">
        <v>221067</v>
      </c>
      <c r="D386" s="3" t="s">
        <v>1376</v>
      </c>
      <c r="E386" s="18" t="n">
        <v>45084</v>
      </c>
      <c r="F386" s="3" t="s">
        <v>1262</v>
      </c>
      <c r="G386" s="3" t="s">
        <v>5</v>
      </c>
      <c r="H386" s="19"/>
      <c r="I386" s="19"/>
      <c r="J386" s="20"/>
      <c r="K386" s="20"/>
      <c r="L386" s="19"/>
      <c r="M386" s="19"/>
      <c r="N386" s="19"/>
      <c r="O386" s="20"/>
      <c r="P386" s="20"/>
    </row>
    <row r="387" customFormat="false" ht="14.25" hidden="false" customHeight="true" outlineLevel="0" collapsed="false">
      <c r="A387" s="3" t="s">
        <v>1259</v>
      </c>
      <c r="B387" s="3" t="s">
        <v>1260</v>
      </c>
      <c r="C387" s="3" t="n">
        <v>221069</v>
      </c>
      <c r="D387" s="3" t="s">
        <v>1261</v>
      </c>
      <c r="E387" s="18" t="n">
        <v>45001</v>
      </c>
      <c r="F387" s="3" t="s">
        <v>1262</v>
      </c>
      <c r="G387" s="3" t="s">
        <v>5</v>
      </c>
      <c r="H387" s="19" t="n">
        <v>45001</v>
      </c>
      <c r="I387" s="19" t="n">
        <v>44796</v>
      </c>
      <c r="J387" s="20" t="n">
        <v>58</v>
      </c>
      <c r="K387" s="20" t="s">
        <v>1313</v>
      </c>
      <c r="L387" s="19" t="s">
        <v>12</v>
      </c>
      <c r="M387" s="19"/>
      <c r="N387" s="19"/>
      <c r="O387" s="20"/>
      <c r="P387" s="20"/>
    </row>
    <row r="388" customFormat="false" ht="14.25" hidden="false" customHeight="true" outlineLevel="0" collapsed="false">
      <c r="A388" s="3" t="s">
        <v>1259</v>
      </c>
      <c r="B388" s="3" t="s">
        <v>1260</v>
      </c>
      <c r="C388" s="3" t="n">
        <v>221069</v>
      </c>
      <c r="D388" s="3" t="s">
        <v>1264</v>
      </c>
      <c r="E388" s="18" t="n">
        <v>45019</v>
      </c>
      <c r="F388" s="3" t="s">
        <v>1262</v>
      </c>
      <c r="G388" s="3" t="s">
        <v>5</v>
      </c>
      <c r="H388" s="19"/>
      <c r="I388" s="19"/>
      <c r="J388" s="20"/>
      <c r="K388" s="20"/>
      <c r="L388" s="19"/>
      <c r="M388" s="19"/>
      <c r="N388" s="19"/>
      <c r="O388" s="20"/>
      <c r="P388" s="20"/>
    </row>
    <row r="389" customFormat="false" ht="14.25" hidden="false" customHeight="true" outlineLevel="0" collapsed="false">
      <c r="A389" s="3" t="s">
        <v>1259</v>
      </c>
      <c r="B389" s="3" t="s">
        <v>1260</v>
      </c>
      <c r="C389" s="3" t="n">
        <v>221069</v>
      </c>
      <c r="D389" s="3" t="s">
        <v>1265</v>
      </c>
      <c r="E389" s="18" t="n">
        <v>45021</v>
      </c>
      <c r="F389" s="3" t="s">
        <v>1262</v>
      </c>
      <c r="G389" s="3" t="s">
        <v>5</v>
      </c>
      <c r="H389" s="19"/>
      <c r="I389" s="19"/>
      <c r="J389" s="20"/>
      <c r="K389" s="20"/>
      <c r="L389" s="19"/>
      <c r="M389" s="19"/>
      <c r="N389" s="19"/>
      <c r="O389" s="20"/>
      <c r="P389" s="20"/>
    </row>
    <row r="390" customFormat="false" ht="14.25" hidden="false" customHeight="true" outlineLevel="0" collapsed="false">
      <c r="A390" s="3" t="s">
        <v>1259</v>
      </c>
      <c r="B390" s="3" t="s">
        <v>1260</v>
      </c>
      <c r="C390" s="3" t="n">
        <v>221069</v>
      </c>
      <c r="D390" s="3" t="s">
        <v>1266</v>
      </c>
      <c r="E390" s="18" t="n">
        <v>45026</v>
      </c>
      <c r="F390" s="3" t="s">
        <v>1262</v>
      </c>
      <c r="G390" s="3" t="s">
        <v>5</v>
      </c>
      <c r="H390" s="19"/>
      <c r="I390" s="19"/>
      <c r="J390" s="20"/>
      <c r="K390" s="20"/>
      <c r="L390" s="19"/>
      <c r="M390" s="19"/>
      <c r="N390" s="19"/>
      <c r="O390" s="20"/>
      <c r="P390" s="20"/>
    </row>
    <row r="391" customFormat="false" ht="14.25" hidden="false" customHeight="true" outlineLevel="0" collapsed="false">
      <c r="A391" s="3" t="s">
        <v>1259</v>
      </c>
      <c r="B391" s="3" t="s">
        <v>1260</v>
      </c>
      <c r="C391" s="3" t="n">
        <v>221069</v>
      </c>
      <c r="D391" s="3" t="s">
        <v>1380</v>
      </c>
      <c r="E391" s="18" t="n">
        <v>45029</v>
      </c>
      <c r="F391" s="3" t="s">
        <v>1262</v>
      </c>
      <c r="G391" s="3" t="s">
        <v>1268</v>
      </c>
      <c r="H391" s="19"/>
      <c r="I391" s="19"/>
      <c r="J391" s="20"/>
      <c r="K391" s="20"/>
      <c r="L391" s="19"/>
      <c r="M391" s="19"/>
      <c r="N391" s="19"/>
      <c r="O391" s="20"/>
      <c r="P391" s="20"/>
    </row>
    <row r="392" customFormat="false" ht="14.25" hidden="false" customHeight="true" outlineLevel="0" collapsed="false">
      <c r="A392" s="3" t="s">
        <v>1259</v>
      </c>
      <c r="B392" s="3" t="s">
        <v>1260</v>
      </c>
      <c r="C392" s="3" t="n">
        <v>221069</v>
      </c>
      <c r="D392" s="3" t="s">
        <v>1269</v>
      </c>
      <c r="E392" s="18" t="n">
        <v>45033</v>
      </c>
      <c r="F392" s="3" t="s">
        <v>1262</v>
      </c>
      <c r="G392" s="3" t="s">
        <v>5</v>
      </c>
      <c r="H392" s="19"/>
      <c r="I392" s="19"/>
      <c r="J392" s="20"/>
      <c r="K392" s="20"/>
      <c r="L392" s="19"/>
      <c r="M392" s="19"/>
      <c r="N392" s="19"/>
      <c r="O392" s="20"/>
      <c r="P392" s="20"/>
    </row>
    <row r="393" customFormat="false" ht="14.25" hidden="false" customHeight="true" outlineLevel="0" collapsed="false">
      <c r="A393" s="3" t="s">
        <v>1259</v>
      </c>
      <c r="B393" s="3" t="s">
        <v>1260</v>
      </c>
      <c r="C393" s="3" t="n">
        <v>221069</v>
      </c>
      <c r="D393" s="3" t="s">
        <v>1270</v>
      </c>
      <c r="E393" s="18" t="n">
        <v>45040</v>
      </c>
      <c r="F393" s="3" t="s">
        <v>1262</v>
      </c>
      <c r="G393" s="3" t="s">
        <v>5</v>
      </c>
      <c r="H393" s="19"/>
      <c r="I393" s="19"/>
      <c r="J393" s="20"/>
      <c r="K393" s="20"/>
      <c r="L393" s="19"/>
      <c r="M393" s="19"/>
      <c r="N393" s="19"/>
      <c r="O393" s="20"/>
      <c r="P393" s="20"/>
    </row>
    <row r="394" customFormat="false" ht="14.25" hidden="false" customHeight="true" outlineLevel="0" collapsed="false">
      <c r="A394" s="3" t="s">
        <v>1259</v>
      </c>
      <c r="B394" s="3" t="s">
        <v>1260</v>
      </c>
      <c r="C394" s="3" t="n">
        <v>221069</v>
      </c>
      <c r="D394" s="3" t="s">
        <v>1271</v>
      </c>
      <c r="E394" s="18" t="n">
        <v>45048</v>
      </c>
      <c r="F394" s="3" t="s">
        <v>1262</v>
      </c>
      <c r="G394" s="3" t="s">
        <v>5</v>
      </c>
      <c r="H394" s="19"/>
      <c r="I394" s="19"/>
      <c r="J394" s="20"/>
      <c r="K394" s="20"/>
      <c r="L394" s="19"/>
      <c r="M394" s="19"/>
      <c r="N394" s="19"/>
      <c r="O394" s="20"/>
      <c r="P394" s="20"/>
    </row>
    <row r="395" customFormat="false" ht="14.25" hidden="false" customHeight="true" outlineLevel="0" collapsed="false">
      <c r="A395" s="3" t="s">
        <v>1259</v>
      </c>
      <c r="B395" s="3" t="s">
        <v>1260</v>
      </c>
      <c r="C395" s="3" t="n">
        <v>221069</v>
      </c>
      <c r="D395" s="3" t="s">
        <v>1272</v>
      </c>
      <c r="E395" s="18" t="n">
        <v>45050</v>
      </c>
      <c r="F395" s="3" t="s">
        <v>1262</v>
      </c>
      <c r="G395" s="3" t="s">
        <v>5</v>
      </c>
      <c r="H395" s="19"/>
      <c r="I395" s="19"/>
      <c r="J395" s="20"/>
      <c r="K395" s="20"/>
      <c r="L395" s="19"/>
      <c r="M395" s="19"/>
      <c r="N395" s="19"/>
      <c r="O395" s="20"/>
      <c r="P395" s="20"/>
    </row>
    <row r="396" customFormat="false" ht="14.25" hidden="false" customHeight="true" outlineLevel="0" collapsed="false">
      <c r="A396" s="3" t="s">
        <v>1259</v>
      </c>
      <c r="B396" s="3" t="s">
        <v>1260</v>
      </c>
      <c r="C396" s="3" t="n">
        <v>221069</v>
      </c>
      <c r="D396" s="3" t="s">
        <v>1273</v>
      </c>
      <c r="E396" s="18" t="n">
        <v>45062</v>
      </c>
      <c r="F396" s="3" t="s">
        <v>1262</v>
      </c>
      <c r="G396" s="3" t="s">
        <v>5</v>
      </c>
      <c r="H396" s="19"/>
      <c r="I396" s="19"/>
      <c r="J396" s="20"/>
      <c r="K396" s="20"/>
      <c r="L396" s="19"/>
      <c r="M396" s="19"/>
      <c r="N396" s="19"/>
      <c r="O396" s="20"/>
      <c r="P396" s="20"/>
    </row>
    <row r="397" customFormat="false" ht="14.25" hidden="false" customHeight="true" outlineLevel="0" collapsed="false">
      <c r="A397" s="3" t="s">
        <v>1259</v>
      </c>
      <c r="B397" s="3" t="s">
        <v>1260</v>
      </c>
      <c r="C397" s="3" t="n">
        <v>221069</v>
      </c>
      <c r="D397" s="3" t="s">
        <v>1276</v>
      </c>
      <c r="E397" s="18" t="n">
        <v>45076</v>
      </c>
      <c r="F397" s="3" t="s">
        <v>1262</v>
      </c>
      <c r="G397" s="3" t="s">
        <v>5</v>
      </c>
      <c r="H397" s="19"/>
      <c r="I397" s="19"/>
      <c r="J397" s="20"/>
      <c r="K397" s="20"/>
      <c r="L397" s="19"/>
      <c r="M397" s="19"/>
      <c r="N397" s="19"/>
      <c r="O397" s="20"/>
      <c r="P397" s="20"/>
    </row>
    <row r="398" customFormat="false" ht="14.25" hidden="false" customHeight="true" outlineLevel="0" collapsed="false">
      <c r="A398" s="3" t="s">
        <v>1259</v>
      </c>
      <c r="B398" s="3" t="s">
        <v>1260</v>
      </c>
      <c r="C398" s="3" t="n">
        <v>221069</v>
      </c>
      <c r="D398" s="3" t="s">
        <v>1381</v>
      </c>
      <c r="E398" s="18" t="n">
        <v>45076</v>
      </c>
      <c r="F398" s="3" t="s">
        <v>1262</v>
      </c>
      <c r="G398" s="3" t="s">
        <v>1275</v>
      </c>
      <c r="H398" s="19"/>
      <c r="I398" s="19"/>
      <c r="J398" s="20"/>
      <c r="K398" s="20"/>
      <c r="L398" s="19"/>
      <c r="M398" s="19"/>
      <c r="N398" s="19"/>
      <c r="O398" s="20"/>
      <c r="P398" s="20"/>
    </row>
    <row r="399" customFormat="false" ht="14.25" hidden="false" customHeight="true" outlineLevel="0" collapsed="false">
      <c r="A399" s="3" t="s">
        <v>1259</v>
      </c>
      <c r="B399" s="3" t="s">
        <v>1260</v>
      </c>
      <c r="C399" s="3" t="n">
        <v>221069</v>
      </c>
      <c r="D399" s="3" t="s">
        <v>1277</v>
      </c>
      <c r="E399" s="18" t="n">
        <v>45089</v>
      </c>
      <c r="F399" s="3" t="s">
        <v>1262</v>
      </c>
      <c r="G399" s="3" t="s">
        <v>5</v>
      </c>
      <c r="H399" s="19"/>
      <c r="I399" s="19"/>
      <c r="J399" s="20"/>
      <c r="K399" s="20"/>
      <c r="L399" s="19"/>
      <c r="M399" s="19"/>
      <c r="N399" s="19"/>
      <c r="O399" s="20"/>
      <c r="P399" s="20"/>
    </row>
    <row r="400" customFormat="false" ht="14.25" hidden="false" customHeight="true" outlineLevel="0" collapsed="false">
      <c r="A400" s="3" t="s">
        <v>1259</v>
      </c>
      <c r="B400" s="3" t="s">
        <v>1260</v>
      </c>
      <c r="C400" s="3" t="n">
        <v>221069</v>
      </c>
      <c r="D400" s="3" t="s">
        <v>1278</v>
      </c>
      <c r="E400" s="18" t="n">
        <v>45104</v>
      </c>
      <c r="F400" s="3" t="s">
        <v>1262</v>
      </c>
      <c r="G400" s="3" t="s">
        <v>5</v>
      </c>
      <c r="H400" s="19"/>
      <c r="I400" s="19"/>
      <c r="J400" s="20"/>
      <c r="K400" s="20"/>
      <c r="L400" s="19"/>
      <c r="M400" s="19"/>
      <c r="N400" s="19"/>
      <c r="O400" s="20"/>
      <c r="P400" s="20"/>
    </row>
    <row r="401" customFormat="false" ht="14.25" hidden="false" customHeight="true" outlineLevel="0" collapsed="false">
      <c r="A401" s="3" t="s">
        <v>1259</v>
      </c>
      <c r="B401" s="3" t="s">
        <v>1260</v>
      </c>
      <c r="C401" s="3" t="n">
        <v>221069</v>
      </c>
      <c r="D401" s="3" t="s">
        <v>1279</v>
      </c>
      <c r="E401" s="18" t="n">
        <v>45117</v>
      </c>
      <c r="F401" s="3" t="s">
        <v>1262</v>
      </c>
      <c r="G401" s="3" t="s">
        <v>5</v>
      </c>
      <c r="H401" s="19"/>
      <c r="I401" s="19"/>
      <c r="J401" s="20"/>
      <c r="K401" s="20"/>
      <c r="L401" s="19"/>
      <c r="M401" s="19"/>
      <c r="N401" s="19"/>
      <c r="O401" s="20"/>
      <c r="P401" s="20"/>
    </row>
    <row r="402" customFormat="false" ht="14.25" hidden="false" customHeight="true" outlineLevel="0" collapsed="false">
      <c r="A402" s="3" t="s">
        <v>1259</v>
      </c>
      <c r="B402" s="3" t="s">
        <v>1260</v>
      </c>
      <c r="C402" s="3" t="n">
        <v>221069</v>
      </c>
      <c r="D402" s="3" t="s">
        <v>1281</v>
      </c>
      <c r="E402" s="18" t="n">
        <v>45131</v>
      </c>
      <c r="F402" s="3" t="s">
        <v>1262</v>
      </c>
      <c r="G402" s="3" t="s">
        <v>5</v>
      </c>
      <c r="H402" s="19"/>
      <c r="I402" s="19"/>
      <c r="J402" s="20"/>
      <c r="K402" s="20"/>
      <c r="L402" s="19"/>
      <c r="M402" s="19"/>
      <c r="N402" s="19"/>
      <c r="O402" s="20"/>
      <c r="P402" s="20"/>
    </row>
    <row r="403" customFormat="false" ht="14.25" hidden="false" customHeight="true" outlineLevel="0" collapsed="false">
      <c r="A403" s="3" t="s">
        <v>1259</v>
      </c>
      <c r="B403" s="3" t="s">
        <v>1260</v>
      </c>
      <c r="C403" s="3" t="n">
        <v>221069</v>
      </c>
      <c r="D403" s="3" t="s">
        <v>1382</v>
      </c>
      <c r="E403" s="18" t="n">
        <v>45131</v>
      </c>
      <c r="F403" s="3" t="s">
        <v>1262</v>
      </c>
      <c r="G403" s="3" t="s">
        <v>1275</v>
      </c>
      <c r="H403" s="19"/>
      <c r="I403" s="19"/>
      <c r="J403" s="20"/>
      <c r="K403" s="20"/>
      <c r="L403" s="19"/>
      <c r="M403" s="19"/>
      <c r="N403" s="19"/>
      <c r="O403" s="20"/>
      <c r="P403" s="20"/>
    </row>
    <row r="404" customFormat="false" ht="14.25" hidden="false" customHeight="true" outlineLevel="0" collapsed="false">
      <c r="A404" s="3" t="s">
        <v>1259</v>
      </c>
      <c r="B404" s="3" t="s">
        <v>1260</v>
      </c>
      <c r="C404" s="3" t="n">
        <v>221069</v>
      </c>
      <c r="D404" s="3" t="s">
        <v>1282</v>
      </c>
      <c r="E404" s="18" t="n">
        <v>45145</v>
      </c>
      <c r="F404" s="3" t="s">
        <v>1262</v>
      </c>
      <c r="G404" s="3" t="s">
        <v>5</v>
      </c>
      <c r="H404" s="19"/>
      <c r="I404" s="19"/>
      <c r="J404" s="20"/>
      <c r="K404" s="20"/>
      <c r="L404" s="19"/>
      <c r="M404" s="19"/>
      <c r="N404" s="19"/>
      <c r="O404" s="20"/>
      <c r="P404" s="20"/>
    </row>
    <row r="405" customFormat="false" ht="14.25" hidden="false" customHeight="true" outlineLevel="0" collapsed="false">
      <c r="A405" s="3" t="s">
        <v>1259</v>
      </c>
      <c r="B405" s="3" t="s">
        <v>1260</v>
      </c>
      <c r="C405" s="3" t="n">
        <v>221069</v>
      </c>
      <c r="D405" s="3" t="s">
        <v>1283</v>
      </c>
      <c r="E405" s="18" t="n">
        <v>45160</v>
      </c>
      <c r="F405" s="3" t="s">
        <v>1262</v>
      </c>
      <c r="G405" s="3" t="s">
        <v>5</v>
      </c>
      <c r="H405" s="19"/>
      <c r="I405" s="19"/>
      <c r="J405" s="20"/>
      <c r="K405" s="20"/>
      <c r="L405" s="19"/>
      <c r="M405" s="19"/>
      <c r="N405" s="19"/>
      <c r="O405" s="20"/>
      <c r="P405" s="20"/>
    </row>
    <row r="406" customFormat="false" ht="14.25" hidden="false" customHeight="true" outlineLevel="0" collapsed="false">
      <c r="A406" s="3" t="s">
        <v>1259</v>
      </c>
      <c r="B406" s="3" t="s">
        <v>1260</v>
      </c>
      <c r="C406" s="3" t="n">
        <v>221069</v>
      </c>
      <c r="D406" s="3" t="s">
        <v>1284</v>
      </c>
      <c r="E406" s="18" t="n">
        <v>45174</v>
      </c>
      <c r="F406" s="3" t="s">
        <v>1262</v>
      </c>
      <c r="G406" s="3" t="s">
        <v>5</v>
      </c>
      <c r="H406" s="19"/>
      <c r="I406" s="19"/>
      <c r="J406" s="20"/>
      <c r="K406" s="20"/>
      <c r="L406" s="19"/>
      <c r="M406" s="19"/>
      <c r="N406" s="19"/>
      <c r="O406" s="20"/>
      <c r="P406" s="20"/>
    </row>
    <row r="407" customFormat="false" ht="14.25" hidden="false" customHeight="true" outlineLevel="0" collapsed="false">
      <c r="A407" s="3" t="s">
        <v>1259</v>
      </c>
      <c r="B407" s="3" t="s">
        <v>1260</v>
      </c>
      <c r="C407" s="3" t="n">
        <v>221069</v>
      </c>
      <c r="D407" s="3" t="s">
        <v>1286</v>
      </c>
      <c r="E407" s="18" t="n">
        <v>45187</v>
      </c>
      <c r="F407" s="3" t="s">
        <v>1262</v>
      </c>
      <c r="G407" s="3" t="s">
        <v>5</v>
      </c>
      <c r="H407" s="19"/>
      <c r="I407" s="19"/>
      <c r="J407" s="20"/>
      <c r="K407" s="20"/>
      <c r="L407" s="19"/>
      <c r="M407" s="19"/>
      <c r="N407" s="19"/>
      <c r="O407" s="20"/>
      <c r="P407" s="20"/>
    </row>
    <row r="408" customFormat="false" ht="14.25" hidden="false" customHeight="true" outlineLevel="0" collapsed="false">
      <c r="A408" s="3" t="s">
        <v>1259</v>
      </c>
      <c r="B408" s="3" t="s">
        <v>1260</v>
      </c>
      <c r="C408" s="3" t="n">
        <v>221069</v>
      </c>
      <c r="D408" s="3" t="s">
        <v>1383</v>
      </c>
      <c r="E408" s="18" t="n">
        <v>45187</v>
      </c>
      <c r="F408" s="3" t="s">
        <v>1262</v>
      </c>
      <c r="G408" s="3" t="s">
        <v>1275</v>
      </c>
      <c r="H408" s="19"/>
      <c r="I408" s="19"/>
      <c r="J408" s="20"/>
      <c r="K408" s="20"/>
      <c r="L408" s="19"/>
      <c r="M408" s="19"/>
      <c r="N408" s="19"/>
      <c r="O408" s="20"/>
      <c r="P408" s="20"/>
    </row>
    <row r="409" customFormat="false" ht="14.25" hidden="false" customHeight="true" outlineLevel="0" collapsed="false">
      <c r="A409" s="3" t="s">
        <v>1259</v>
      </c>
      <c r="B409" s="3" t="s">
        <v>1260</v>
      </c>
      <c r="C409" s="3" t="n">
        <v>221069</v>
      </c>
      <c r="D409" s="3" t="s">
        <v>1287</v>
      </c>
      <c r="E409" s="18" t="n">
        <v>45204</v>
      </c>
      <c r="F409" s="3" t="s">
        <v>1262</v>
      </c>
      <c r="G409" s="3" t="s">
        <v>5</v>
      </c>
      <c r="H409" s="19"/>
      <c r="I409" s="19"/>
      <c r="J409" s="20"/>
      <c r="K409" s="20"/>
      <c r="L409" s="19"/>
      <c r="M409" s="19"/>
      <c r="N409" s="19"/>
      <c r="O409" s="20"/>
      <c r="P409" s="20"/>
    </row>
    <row r="410" customFormat="false" ht="14.25" hidden="false" customHeight="true" outlineLevel="0" collapsed="false">
      <c r="A410" s="3" t="s">
        <v>1259</v>
      </c>
      <c r="B410" s="3" t="s">
        <v>1260</v>
      </c>
      <c r="C410" s="3" t="n">
        <v>221069</v>
      </c>
      <c r="D410" s="3" t="s">
        <v>1288</v>
      </c>
      <c r="E410" s="18" t="n">
        <v>45218</v>
      </c>
      <c r="F410" s="3" t="s">
        <v>1262</v>
      </c>
      <c r="G410" s="3" t="s">
        <v>5</v>
      </c>
      <c r="H410" s="19"/>
      <c r="I410" s="19"/>
      <c r="J410" s="20"/>
      <c r="K410" s="20"/>
      <c r="L410" s="19"/>
      <c r="M410" s="19"/>
      <c r="N410" s="19"/>
      <c r="O410" s="20"/>
      <c r="P410" s="20"/>
    </row>
    <row r="411" customFormat="false" ht="14.25" hidden="false" customHeight="true" outlineLevel="0" collapsed="false">
      <c r="A411" s="3" t="s">
        <v>1259</v>
      </c>
      <c r="B411" s="3" t="s">
        <v>1260</v>
      </c>
      <c r="C411" s="3" t="n">
        <v>221069</v>
      </c>
      <c r="D411" s="3" t="s">
        <v>1289</v>
      </c>
      <c r="E411" s="18" t="n">
        <v>45229</v>
      </c>
      <c r="F411" s="3" t="s">
        <v>1262</v>
      </c>
      <c r="G411" s="3" t="s">
        <v>5</v>
      </c>
      <c r="H411" s="19"/>
      <c r="I411" s="19"/>
      <c r="J411" s="20"/>
      <c r="K411" s="20"/>
      <c r="L411" s="19"/>
      <c r="M411" s="19"/>
      <c r="N411" s="19"/>
      <c r="O411" s="20"/>
      <c r="P411" s="20"/>
    </row>
    <row r="412" customFormat="false" ht="14.25" hidden="false" customHeight="true" outlineLevel="0" collapsed="false">
      <c r="A412" s="3" t="s">
        <v>1259</v>
      </c>
      <c r="B412" s="3" t="s">
        <v>1260</v>
      </c>
      <c r="C412" s="3" t="n">
        <v>221069</v>
      </c>
      <c r="D412" s="3" t="s">
        <v>1290</v>
      </c>
      <c r="E412" s="18" t="n">
        <v>45243</v>
      </c>
      <c r="F412" s="3" t="s">
        <v>1262</v>
      </c>
      <c r="G412" s="3" t="s">
        <v>5</v>
      </c>
      <c r="H412" s="19"/>
      <c r="I412" s="19"/>
      <c r="J412" s="20"/>
      <c r="K412" s="20"/>
      <c r="L412" s="19"/>
      <c r="M412" s="19"/>
      <c r="N412" s="19"/>
      <c r="O412" s="20"/>
      <c r="P412" s="20"/>
    </row>
    <row r="413" customFormat="false" ht="14.25" hidden="false" customHeight="true" outlineLevel="0" collapsed="false">
      <c r="A413" s="3" t="s">
        <v>1259</v>
      </c>
      <c r="B413" s="3" t="s">
        <v>1260</v>
      </c>
      <c r="C413" s="3" t="n">
        <v>221069</v>
      </c>
      <c r="D413" s="3" t="s">
        <v>1384</v>
      </c>
      <c r="E413" s="18" t="n">
        <v>45243</v>
      </c>
      <c r="F413" s="3" t="s">
        <v>1262</v>
      </c>
      <c r="G413" s="3" t="s">
        <v>1275</v>
      </c>
      <c r="H413" s="19"/>
      <c r="I413" s="19"/>
      <c r="J413" s="20"/>
      <c r="K413" s="20"/>
      <c r="L413" s="19"/>
      <c r="M413" s="19"/>
      <c r="N413" s="19"/>
      <c r="O413" s="20"/>
      <c r="P413" s="20"/>
    </row>
    <row r="414" customFormat="false" ht="14.25" hidden="false" customHeight="true" outlineLevel="0" collapsed="false">
      <c r="A414" s="3" t="s">
        <v>1259</v>
      </c>
      <c r="B414" s="3" t="s">
        <v>1260</v>
      </c>
      <c r="C414" s="3" t="n">
        <v>221069</v>
      </c>
      <c r="D414" s="3" t="s">
        <v>1292</v>
      </c>
      <c r="E414" s="18" t="n">
        <v>45257</v>
      </c>
      <c r="F414" s="3" t="s">
        <v>1262</v>
      </c>
      <c r="G414" s="3" t="s">
        <v>5</v>
      </c>
      <c r="H414" s="19"/>
      <c r="I414" s="19"/>
      <c r="J414" s="20"/>
      <c r="K414" s="20"/>
      <c r="L414" s="19"/>
      <c r="M414" s="19"/>
      <c r="N414" s="19"/>
      <c r="O414" s="20"/>
      <c r="P414" s="20"/>
    </row>
    <row r="415" customFormat="false" ht="14.25" hidden="false" customHeight="true" outlineLevel="0" collapsed="false">
      <c r="A415" s="3" t="s">
        <v>1259</v>
      </c>
      <c r="B415" s="3" t="s">
        <v>1260</v>
      </c>
      <c r="C415" s="3" t="n">
        <v>221069</v>
      </c>
      <c r="D415" s="3" t="s">
        <v>1293</v>
      </c>
      <c r="E415" s="18" t="n">
        <v>45271</v>
      </c>
      <c r="F415" s="3" t="s">
        <v>1262</v>
      </c>
      <c r="G415" s="3" t="s">
        <v>5</v>
      </c>
      <c r="H415" s="19"/>
      <c r="I415" s="19"/>
      <c r="J415" s="20"/>
      <c r="K415" s="20"/>
      <c r="L415" s="19"/>
      <c r="M415" s="19"/>
      <c r="N415" s="19"/>
      <c r="O415" s="20"/>
      <c r="P415" s="20"/>
    </row>
    <row r="416" customFormat="false" ht="14.25" hidden="false" customHeight="true" outlineLevel="0" collapsed="false">
      <c r="A416" s="3" t="s">
        <v>1259</v>
      </c>
      <c r="B416" s="3" t="s">
        <v>1260</v>
      </c>
      <c r="C416" s="3" t="n">
        <v>221069</v>
      </c>
      <c r="D416" s="3" t="s">
        <v>1294</v>
      </c>
      <c r="E416" s="18" t="n">
        <v>45286</v>
      </c>
      <c r="F416" s="3" t="s">
        <v>1262</v>
      </c>
      <c r="G416" s="3" t="s">
        <v>5</v>
      </c>
      <c r="H416" s="19"/>
      <c r="I416" s="19"/>
      <c r="J416" s="20"/>
      <c r="K416" s="20"/>
      <c r="L416" s="19"/>
      <c r="M416" s="19"/>
      <c r="N416" s="19"/>
      <c r="O416" s="20"/>
      <c r="P416" s="20"/>
    </row>
    <row r="417" customFormat="false" ht="14.25" hidden="false" customHeight="true" outlineLevel="0" collapsed="false">
      <c r="A417" s="3" t="s">
        <v>1259</v>
      </c>
      <c r="B417" s="3" t="s">
        <v>1260</v>
      </c>
      <c r="C417" s="3" t="n">
        <v>221069</v>
      </c>
      <c r="D417" s="3" t="s">
        <v>1295</v>
      </c>
      <c r="E417" s="18" t="n">
        <v>45299</v>
      </c>
      <c r="F417" s="3" t="s">
        <v>1262</v>
      </c>
      <c r="G417" s="3" t="s">
        <v>5</v>
      </c>
      <c r="H417" s="19"/>
      <c r="I417" s="19"/>
      <c r="J417" s="20"/>
      <c r="K417" s="20"/>
      <c r="L417" s="19"/>
      <c r="M417" s="19"/>
      <c r="N417" s="19"/>
      <c r="O417" s="20"/>
      <c r="P417" s="20"/>
    </row>
    <row r="418" customFormat="false" ht="14.25" hidden="false" customHeight="true" outlineLevel="0" collapsed="false">
      <c r="A418" s="3" t="s">
        <v>1259</v>
      </c>
      <c r="B418" s="3" t="s">
        <v>1260</v>
      </c>
      <c r="C418" s="3" t="n">
        <v>221069</v>
      </c>
      <c r="D418" s="3" t="s">
        <v>1385</v>
      </c>
      <c r="E418" s="18" t="n">
        <v>45299</v>
      </c>
      <c r="F418" s="3" t="s">
        <v>1262</v>
      </c>
      <c r="G418" s="3" t="s">
        <v>1275</v>
      </c>
      <c r="H418" s="19"/>
      <c r="I418" s="19"/>
      <c r="J418" s="20"/>
      <c r="K418" s="20"/>
      <c r="L418" s="19"/>
      <c r="M418" s="19"/>
      <c r="N418" s="19"/>
      <c r="O418" s="20"/>
      <c r="P418" s="20"/>
    </row>
    <row r="419" customFormat="false" ht="14.25" hidden="false" customHeight="true" outlineLevel="0" collapsed="false">
      <c r="A419" s="3" t="s">
        <v>1259</v>
      </c>
      <c r="B419" s="3" t="s">
        <v>1260</v>
      </c>
      <c r="C419" s="3" t="n">
        <v>221069</v>
      </c>
      <c r="D419" s="3" t="s">
        <v>1297</v>
      </c>
      <c r="E419" s="18" t="n">
        <v>45313</v>
      </c>
      <c r="F419" s="3" t="s">
        <v>1262</v>
      </c>
      <c r="G419" s="3" t="s">
        <v>5</v>
      </c>
      <c r="H419" s="19"/>
      <c r="I419" s="19"/>
      <c r="J419" s="20"/>
      <c r="K419" s="20"/>
      <c r="L419" s="19"/>
      <c r="M419" s="19"/>
      <c r="N419" s="19"/>
      <c r="O419" s="20"/>
      <c r="P419" s="20"/>
    </row>
    <row r="420" customFormat="false" ht="14.25" hidden="false" customHeight="true" outlineLevel="0" collapsed="false">
      <c r="A420" s="3" t="s">
        <v>1259</v>
      </c>
      <c r="B420" s="3" t="s">
        <v>1260</v>
      </c>
      <c r="C420" s="3" t="n">
        <v>221069</v>
      </c>
      <c r="D420" s="3" t="s">
        <v>1298</v>
      </c>
      <c r="E420" s="18" t="n">
        <v>45327</v>
      </c>
      <c r="F420" s="3" t="s">
        <v>1262</v>
      </c>
      <c r="G420" s="3" t="s">
        <v>5</v>
      </c>
      <c r="H420" s="19"/>
      <c r="I420" s="19"/>
      <c r="J420" s="20"/>
      <c r="K420" s="20"/>
      <c r="L420" s="19"/>
      <c r="M420" s="19"/>
      <c r="N420" s="19"/>
      <c r="O420" s="20"/>
      <c r="P420" s="20"/>
    </row>
    <row r="421" customFormat="false" ht="14.25" hidden="false" customHeight="true" outlineLevel="0" collapsed="false">
      <c r="A421" s="3" t="s">
        <v>1259</v>
      </c>
      <c r="B421" s="3" t="s">
        <v>1260</v>
      </c>
      <c r="C421" s="3" t="n">
        <v>221069</v>
      </c>
      <c r="D421" s="3" t="s">
        <v>1299</v>
      </c>
      <c r="E421" s="18" t="n">
        <v>45341</v>
      </c>
      <c r="F421" s="3" t="s">
        <v>1262</v>
      </c>
      <c r="G421" s="3" t="s">
        <v>5</v>
      </c>
      <c r="H421" s="19"/>
      <c r="I421" s="19"/>
      <c r="J421" s="20"/>
      <c r="K421" s="20"/>
      <c r="L421" s="19"/>
      <c r="M421" s="19"/>
      <c r="N421" s="19"/>
      <c r="O421" s="20"/>
      <c r="P421" s="20"/>
    </row>
    <row r="422" customFormat="false" ht="14.25" hidden="false" customHeight="true" outlineLevel="0" collapsed="false">
      <c r="A422" s="3" t="s">
        <v>1259</v>
      </c>
      <c r="B422" s="3" t="s">
        <v>1260</v>
      </c>
      <c r="C422" s="3" t="n">
        <v>221069</v>
      </c>
      <c r="D422" s="3" t="s">
        <v>1300</v>
      </c>
      <c r="E422" s="18" t="n">
        <v>45355</v>
      </c>
      <c r="F422" s="3" t="s">
        <v>1262</v>
      </c>
      <c r="G422" s="3" t="s">
        <v>5</v>
      </c>
      <c r="H422" s="19"/>
      <c r="I422" s="19"/>
      <c r="J422" s="20"/>
      <c r="K422" s="20"/>
      <c r="L422" s="19"/>
      <c r="M422" s="19"/>
      <c r="N422" s="19"/>
      <c r="O422" s="20"/>
      <c r="P422" s="20"/>
    </row>
    <row r="423" customFormat="false" ht="14.25" hidden="false" customHeight="true" outlineLevel="0" collapsed="false">
      <c r="A423" s="3" t="s">
        <v>1259</v>
      </c>
      <c r="B423" s="3" t="s">
        <v>1260</v>
      </c>
      <c r="C423" s="3" t="n">
        <v>221069</v>
      </c>
      <c r="D423" s="3" t="s">
        <v>1386</v>
      </c>
      <c r="E423" s="18" t="n">
        <v>45355</v>
      </c>
      <c r="F423" s="3" t="s">
        <v>1262</v>
      </c>
      <c r="G423" s="3" t="s">
        <v>1275</v>
      </c>
      <c r="H423" s="19"/>
      <c r="I423" s="19"/>
      <c r="J423" s="20"/>
      <c r="K423" s="20"/>
      <c r="L423" s="19"/>
      <c r="M423" s="19"/>
      <c r="N423" s="19"/>
      <c r="O423" s="20"/>
      <c r="P423" s="20"/>
    </row>
    <row r="424" customFormat="false" ht="14.25" hidden="false" customHeight="true" outlineLevel="0" collapsed="false">
      <c r="A424" s="3" t="s">
        <v>1259</v>
      </c>
      <c r="B424" s="3" t="s">
        <v>1260</v>
      </c>
      <c r="C424" s="3" t="n">
        <v>221069</v>
      </c>
      <c r="D424" s="3" t="s">
        <v>1302</v>
      </c>
      <c r="E424" s="18" t="n">
        <v>45369</v>
      </c>
      <c r="F424" s="3" t="s">
        <v>1262</v>
      </c>
      <c r="G424" s="3" t="s">
        <v>5</v>
      </c>
      <c r="H424" s="19"/>
      <c r="I424" s="19"/>
      <c r="J424" s="20"/>
      <c r="K424" s="20"/>
      <c r="L424" s="19"/>
      <c r="M424" s="19"/>
      <c r="N424" s="19"/>
      <c r="O424" s="20"/>
      <c r="P424" s="20"/>
    </row>
    <row r="425" customFormat="false" ht="14.25" hidden="false" customHeight="true" outlineLevel="0" collapsed="false">
      <c r="A425" s="3" t="s">
        <v>1259</v>
      </c>
      <c r="B425" s="3" t="s">
        <v>1260</v>
      </c>
      <c r="C425" s="3" t="n">
        <v>221069</v>
      </c>
      <c r="D425" s="3" t="s">
        <v>1303</v>
      </c>
      <c r="E425" s="18" t="n">
        <v>45383</v>
      </c>
      <c r="F425" s="3" t="s">
        <v>1262</v>
      </c>
      <c r="G425" s="3" t="s">
        <v>5</v>
      </c>
      <c r="H425" s="19"/>
      <c r="I425" s="19"/>
      <c r="J425" s="20"/>
      <c r="K425" s="20"/>
      <c r="L425" s="19"/>
      <c r="M425" s="19"/>
      <c r="N425" s="19"/>
      <c r="O425" s="20"/>
      <c r="P425" s="20"/>
    </row>
    <row r="426" customFormat="false" ht="14.25" hidden="false" customHeight="true" outlineLevel="0" collapsed="false">
      <c r="A426" s="3" t="s">
        <v>1259</v>
      </c>
      <c r="B426" s="3" t="s">
        <v>1260</v>
      </c>
      <c r="C426" s="3" t="n">
        <v>221069</v>
      </c>
      <c r="D426" s="3" t="s">
        <v>1304</v>
      </c>
      <c r="E426" s="18" t="n">
        <v>45397</v>
      </c>
      <c r="F426" s="3" t="s">
        <v>1262</v>
      </c>
      <c r="G426" s="3" t="s">
        <v>5</v>
      </c>
      <c r="H426" s="19"/>
      <c r="I426" s="19"/>
      <c r="J426" s="20"/>
      <c r="K426" s="20"/>
      <c r="L426" s="19"/>
      <c r="M426" s="19"/>
      <c r="N426" s="19"/>
      <c r="O426" s="20"/>
      <c r="P426" s="20"/>
    </row>
    <row r="427" customFormat="false" ht="14.25" hidden="false" customHeight="true" outlineLevel="0" collapsed="false">
      <c r="A427" s="3" t="s">
        <v>1259</v>
      </c>
      <c r="B427" s="3" t="s">
        <v>1260</v>
      </c>
      <c r="C427" s="3" t="n">
        <v>221069</v>
      </c>
      <c r="D427" s="3" t="s">
        <v>1305</v>
      </c>
      <c r="E427" s="18" t="n">
        <v>45411</v>
      </c>
      <c r="F427" s="3" t="s">
        <v>1262</v>
      </c>
      <c r="G427" s="3" t="s">
        <v>5</v>
      </c>
      <c r="H427" s="19"/>
      <c r="I427" s="19"/>
      <c r="J427" s="20"/>
      <c r="K427" s="20"/>
      <c r="L427" s="19"/>
      <c r="M427" s="19"/>
      <c r="N427" s="19"/>
      <c r="O427" s="20"/>
      <c r="P427" s="20"/>
    </row>
    <row r="428" customFormat="false" ht="14.25" hidden="false" customHeight="true" outlineLevel="0" collapsed="false">
      <c r="A428" s="3" t="s">
        <v>1259</v>
      </c>
      <c r="B428" s="3" t="s">
        <v>1260</v>
      </c>
      <c r="C428" s="3" t="n">
        <v>221069</v>
      </c>
      <c r="D428" s="3" t="s">
        <v>1307</v>
      </c>
      <c r="E428" s="18" t="n">
        <v>45425</v>
      </c>
      <c r="F428" s="3" t="s">
        <v>1262</v>
      </c>
      <c r="G428" s="3" t="s">
        <v>5</v>
      </c>
      <c r="H428" s="19"/>
      <c r="I428" s="19"/>
      <c r="J428" s="20"/>
      <c r="K428" s="20"/>
      <c r="L428" s="19"/>
      <c r="M428" s="19"/>
      <c r="N428" s="19"/>
      <c r="O428" s="20"/>
      <c r="P428" s="20"/>
    </row>
    <row r="429" customFormat="false" ht="14.25" hidden="false" customHeight="true" outlineLevel="0" collapsed="false">
      <c r="A429" s="3" t="s">
        <v>1259</v>
      </c>
      <c r="B429" s="3" t="s">
        <v>1260</v>
      </c>
      <c r="C429" s="3" t="n">
        <v>221069</v>
      </c>
      <c r="D429" s="3" t="s">
        <v>1308</v>
      </c>
      <c r="E429" s="18" t="n">
        <v>45439</v>
      </c>
      <c r="F429" s="3" t="s">
        <v>1262</v>
      </c>
      <c r="G429" s="3" t="s">
        <v>5</v>
      </c>
      <c r="H429" s="19"/>
      <c r="I429" s="19"/>
      <c r="J429" s="20"/>
      <c r="K429" s="20"/>
      <c r="L429" s="19"/>
      <c r="M429" s="19"/>
      <c r="N429" s="19"/>
      <c r="O429" s="20"/>
      <c r="P429" s="20"/>
    </row>
    <row r="430" customFormat="false" ht="14.25" hidden="false" customHeight="true" outlineLevel="0" collapsed="false">
      <c r="A430" s="3" t="s">
        <v>1259</v>
      </c>
      <c r="B430" s="3" t="s">
        <v>1260</v>
      </c>
      <c r="C430" s="3" t="n">
        <v>221074</v>
      </c>
      <c r="D430" s="3" t="s">
        <v>1261</v>
      </c>
      <c r="E430" s="18" t="n">
        <v>45006</v>
      </c>
      <c r="F430" s="3" t="s">
        <v>1262</v>
      </c>
      <c r="G430" s="3" t="s">
        <v>5</v>
      </c>
      <c r="H430" s="19" t="n">
        <v>45006</v>
      </c>
      <c r="I430" s="19" t="n">
        <v>44796</v>
      </c>
      <c r="J430" s="20" t="n">
        <v>46</v>
      </c>
      <c r="K430" s="20" t="s">
        <v>1313</v>
      </c>
      <c r="L430" s="19" t="s">
        <v>12</v>
      </c>
      <c r="M430" s="19"/>
      <c r="N430" s="19"/>
      <c r="O430" s="20"/>
      <c r="P430" s="20"/>
    </row>
    <row r="431" customFormat="false" ht="14.25" hidden="false" customHeight="true" outlineLevel="0" collapsed="false">
      <c r="A431" s="3" t="s">
        <v>1259</v>
      </c>
      <c r="B431" s="3" t="s">
        <v>1260</v>
      </c>
      <c r="C431" s="3" t="n">
        <v>221074</v>
      </c>
      <c r="D431" s="3" t="s">
        <v>1264</v>
      </c>
      <c r="E431" s="18" t="n">
        <v>45028</v>
      </c>
      <c r="F431" s="3" t="s">
        <v>1262</v>
      </c>
      <c r="G431" s="3" t="s">
        <v>5</v>
      </c>
      <c r="H431" s="19"/>
      <c r="I431" s="19"/>
      <c r="J431" s="20"/>
      <c r="K431" s="20"/>
      <c r="L431" s="19"/>
      <c r="M431" s="19"/>
      <c r="N431" s="19"/>
      <c r="O431" s="20"/>
      <c r="P431" s="20"/>
    </row>
    <row r="432" customFormat="false" ht="14.25" hidden="false" customHeight="true" outlineLevel="0" collapsed="false">
      <c r="A432" s="3" t="s">
        <v>1259</v>
      </c>
      <c r="B432" s="3" t="s">
        <v>1260</v>
      </c>
      <c r="C432" s="3" t="n">
        <v>221074</v>
      </c>
      <c r="D432" s="3" t="s">
        <v>1265</v>
      </c>
      <c r="E432" s="18" t="n">
        <v>45030</v>
      </c>
      <c r="F432" s="3" t="s">
        <v>1262</v>
      </c>
      <c r="G432" s="3" t="s">
        <v>5</v>
      </c>
      <c r="H432" s="19"/>
      <c r="I432" s="19"/>
      <c r="J432" s="20"/>
      <c r="K432" s="20"/>
      <c r="L432" s="19"/>
      <c r="M432" s="19"/>
      <c r="N432" s="19"/>
      <c r="O432" s="20"/>
      <c r="P432" s="20"/>
    </row>
    <row r="433" customFormat="false" ht="14.25" hidden="false" customHeight="true" outlineLevel="0" collapsed="false">
      <c r="A433" s="3" t="s">
        <v>1259</v>
      </c>
      <c r="B433" s="3" t="s">
        <v>1260</v>
      </c>
      <c r="C433" s="3" t="n">
        <v>221074</v>
      </c>
      <c r="D433" s="3" t="s">
        <v>1266</v>
      </c>
      <c r="E433" s="18" t="n">
        <v>45036</v>
      </c>
      <c r="F433" s="3" t="s">
        <v>1262</v>
      </c>
      <c r="G433" s="3" t="s">
        <v>5</v>
      </c>
      <c r="H433" s="19"/>
      <c r="I433" s="19"/>
      <c r="J433" s="20"/>
      <c r="K433" s="20"/>
      <c r="L433" s="19"/>
      <c r="M433" s="19"/>
      <c r="N433" s="19"/>
      <c r="O433" s="20"/>
      <c r="P433" s="20"/>
    </row>
    <row r="434" customFormat="false" ht="14.25" hidden="false" customHeight="true" outlineLevel="0" collapsed="false">
      <c r="A434" s="3" t="s">
        <v>1259</v>
      </c>
      <c r="B434" s="3" t="s">
        <v>1260</v>
      </c>
      <c r="C434" s="3" t="n">
        <v>221074</v>
      </c>
      <c r="D434" s="3" t="s">
        <v>1269</v>
      </c>
      <c r="E434" s="18" t="n">
        <v>45041</v>
      </c>
      <c r="F434" s="3" t="s">
        <v>1262</v>
      </c>
      <c r="G434" s="3" t="s">
        <v>5</v>
      </c>
      <c r="H434" s="19"/>
      <c r="I434" s="19"/>
      <c r="J434" s="20"/>
      <c r="K434" s="20"/>
      <c r="L434" s="19"/>
      <c r="M434" s="19"/>
      <c r="N434" s="19"/>
      <c r="O434" s="20"/>
      <c r="P434" s="20"/>
    </row>
    <row r="435" customFormat="false" ht="14.25" hidden="false" customHeight="true" outlineLevel="0" collapsed="false">
      <c r="A435" s="3" t="s">
        <v>1259</v>
      </c>
      <c r="B435" s="3" t="s">
        <v>1260</v>
      </c>
      <c r="C435" s="3" t="n">
        <v>221074</v>
      </c>
      <c r="D435" s="3" t="s">
        <v>1270</v>
      </c>
      <c r="E435" s="18" t="n">
        <v>45048</v>
      </c>
      <c r="F435" s="3" t="s">
        <v>1262</v>
      </c>
      <c r="G435" s="3" t="s">
        <v>5</v>
      </c>
      <c r="H435" s="19"/>
      <c r="I435" s="19"/>
      <c r="J435" s="20"/>
      <c r="K435" s="20"/>
      <c r="L435" s="19"/>
      <c r="M435" s="19"/>
      <c r="N435" s="19"/>
      <c r="O435" s="20"/>
      <c r="P435" s="20"/>
    </row>
    <row r="436" customFormat="false" ht="14.25" hidden="false" customHeight="true" outlineLevel="0" collapsed="false">
      <c r="A436" s="3" t="s">
        <v>1259</v>
      </c>
      <c r="B436" s="3" t="s">
        <v>1260</v>
      </c>
      <c r="C436" s="3" t="n">
        <v>221074</v>
      </c>
      <c r="D436" s="3" t="s">
        <v>1271</v>
      </c>
      <c r="E436" s="18" t="n">
        <v>45055</v>
      </c>
      <c r="F436" s="3" t="s">
        <v>1262</v>
      </c>
      <c r="G436" s="3" t="s">
        <v>5</v>
      </c>
      <c r="H436" s="19"/>
      <c r="I436" s="19"/>
      <c r="J436" s="20"/>
      <c r="K436" s="20"/>
      <c r="L436" s="19"/>
      <c r="M436" s="19"/>
      <c r="N436" s="19"/>
      <c r="O436" s="20"/>
      <c r="P436" s="20"/>
    </row>
    <row r="437" customFormat="false" ht="14.25" hidden="false" customHeight="true" outlineLevel="0" collapsed="false">
      <c r="A437" s="3" t="s">
        <v>1259</v>
      </c>
      <c r="B437" s="3" t="s">
        <v>1260</v>
      </c>
      <c r="C437" s="3" t="n">
        <v>221074</v>
      </c>
      <c r="D437" s="3" t="s">
        <v>1272</v>
      </c>
      <c r="E437" s="18" t="n">
        <v>45057</v>
      </c>
      <c r="F437" s="3" t="s">
        <v>1262</v>
      </c>
      <c r="G437" s="3" t="s">
        <v>5</v>
      </c>
      <c r="H437" s="19"/>
      <c r="I437" s="19"/>
      <c r="J437" s="20"/>
      <c r="K437" s="20"/>
      <c r="L437" s="19"/>
      <c r="M437" s="19"/>
      <c r="N437" s="19"/>
      <c r="O437" s="20"/>
      <c r="P437" s="20"/>
    </row>
    <row r="438" customFormat="false" ht="14.25" hidden="false" customHeight="true" outlineLevel="0" collapsed="false">
      <c r="A438" s="3" t="s">
        <v>1259</v>
      </c>
      <c r="B438" s="3" t="s">
        <v>1260</v>
      </c>
      <c r="C438" s="3" t="n">
        <v>221074</v>
      </c>
      <c r="D438" s="3" t="s">
        <v>1273</v>
      </c>
      <c r="E438" s="18" t="n">
        <v>45067</v>
      </c>
      <c r="F438" s="3" t="s">
        <v>1262</v>
      </c>
      <c r="G438" s="3" t="s">
        <v>5</v>
      </c>
      <c r="H438" s="19"/>
      <c r="I438" s="19"/>
      <c r="J438" s="20"/>
      <c r="K438" s="20"/>
      <c r="L438" s="19"/>
      <c r="M438" s="19"/>
      <c r="N438" s="19"/>
      <c r="O438" s="20"/>
      <c r="P438" s="20"/>
    </row>
    <row r="439" customFormat="false" ht="14.25" hidden="false" customHeight="true" outlineLevel="0" collapsed="false">
      <c r="A439" s="3" t="s">
        <v>1259</v>
      </c>
      <c r="B439" s="3" t="s">
        <v>1260</v>
      </c>
      <c r="C439" s="3" t="n">
        <v>221074</v>
      </c>
      <c r="D439" s="3" t="s">
        <v>1387</v>
      </c>
      <c r="E439" s="18" t="n">
        <v>45077</v>
      </c>
      <c r="F439" s="3" t="s">
        <v>1262</v>
      </c>
      <c r="G439" s="3" t="s">
        <v>1275</v>
      </c>
      <c r="H439" s="19"/>
      <c r="I439" s="19"/>
      <c r="J439" s="20"/>
      <c r="K439" s="20"/>
      <c r="L439" s="19"/>
      <c r="M439" s="19"/>
      <c r="N439" s="19"/>
      <c r="O439" s="20"/>
      <c r="P439" s="20"/>
    </row>
    <row r="440" customFormat="false" ht="14.25" hidden="false" customHeight="true" outlineLevel="0" collapsed="false">
      <c r="A440" s="3" t="s">
        <v>1259</v>
      </c>
      <c r="B440" s="3" t="s">
        <v>1260</v>
      </c>
      <c r="C440" s="3" t="n">
        <v>221074</v>
      </c>
      <c r="D440" s="3" t="s">
        <v>1276</v>
      </c>
      <c r="E440" s="18" t="n">
        <v>45084</v>
      </c>
      <c r="F440" s="3" t="s">
        <v>1262</v>
      </c>
      <c r="G440" s="3" t="s">
        <v>5</v>
      </c>
      <c r="H440" s="19"/>
      <c r="I440" s="19"/>
      <c r="J440" s="20"/>
      <c r="K440" s="20"/>
      <c r="L440" s="19"/>
      <c r="M440" s="19"/>
      <c r="N440" s="19"/>
      <c r="O440" s="20"/>
      <c r="P440" s="20"/>
    </row>
    <row r="441" customFormat="false" ht="14.25" hidden="false" customHeight="true" outlineLevel="0" collapsed="false">
      <c r="A441" s="3" t="s">
        <v>1259</v>
      </c>
      <c r="B441" s="3" t="s">
        <v>1260</v>
      </c>
      <c r="C441" s="3" t="n">
        <v>221074</v>
      </c>
      <c r="D441" s="3" t="s">
        <v>1277</v>
      </c>
      <c r="E441" s="18" t="n">
        <v>45097</v>
      </c>
      <c r="F441" s="3" t="s">
        <v>1262</v>
      </c>
      <c r="G441" s="3" t="s">
        <v>5</v>
      </c>
      <c r="H441" s="19"/>
      <c r="I441" s="19"/>
      <c r="J441" s="20"/>
      <c r="K441" s="20"/>
      <c r="L441" s="19"/>
      <c r="M441" s="19"/>
      <c r="N441" s="19"/>
      <c r="O441" s="20"/>
      <c r="P441" s="20"/>
    </row>
    <row r="442" customFormat="false" ht="14.25" hidden="false" customHeight="true" outlineLevel="0" collapsed="false">
      <c r="A442" s="3" t="s">
        <v>1259</v>
      </c>
      <c r="B442" s="3" t="s">
        <v>1260</v>
      </c>
      <c r="C442" s="3" t="n">
        <v>221074</v>
      </c>
      <c r="D442" s="3" t="s">
        <v>1278</v>
      </c>
      <c r="E442" s="18" t="n">
        <v>45110</v>
      </c>
      <c r="F442" s="3" t="s">
        <v>1262</v>
      </c>
      <c r="G442" s="3" t="s">
        <v>5</v>
      </c>
      <c r="H442" s="19"/>
      <c r="I442" s="19"/>
      <c r="J442" s="20"/>
      <c r="K442" s="20"/>
      <c r="L442" s="19"/>
      <c r="M442" s="19"/>
      <c r="N442" s="19"/>
      <c r="O442" s="20"/>
      <c r="P442" s="20"/>
    </row>
    <row r="443" customFormat="false" ht="14.25" hidden="false" customHeight="true" outlineLevel="0" collapsed="false">
      <c r="A443" s="3" t="s">
        <v>1259</v>
      </c>
      <c r="B443" s="3" t="s">
        <v>1260</v>
      </c>
      <c r="C443" s="3" t="n">
        <v>221074</v>
      </c>
      <c r="D443" s="3" t="s">
        <v>1279</v>
      </c>
      <c r="E443" s="18" t="n">
        <v>45125</v>
      </c>
      <c r="F443" s="3" t="s">
        <v>1262</v>
      </c>
      <c r="G443" s="3" t="s">
        <v>5</v>
      </c>
      <c r="H443" s="19"/>
      <c r="I443" s="19"/>
      <c r="J443" s="20"/>
      <c r="K443" s="20"/>
      <c r="L443" s="19"/>
      <c r="M443" s="19"/>
      <c r="N443" s="19"/>
      <c r="O443" s="20"/>
      <c r="P443" s="20"/>
    </row>
    <row r="444" customFormat="false" ht="14.25" hidden="false" customHeight="true" outlineLevel="0" collapsed="false">
      <c r="A444" s="3" t="s">
        <v>1259</v>
      </c>
      <c r="B444" s="3" t="s">
        <v>1260</v>
      </c>
      <c r="C444" s="3" t="n">
        <v>221074</v>
      </c>
      <c r="D444" s="3" t="s">
        <v>1388</v>
      </c>
      <c r="E444" s="18" t="n">
        <v>45133</v>
      </c>
      <c r="F444" s="3" t="s">
        <v>1262</v>
      </c>
      <c r="G444" s="3" t="s">
        <v>1275</v>
      </c>
      <c r="H444" s="19"/>
      <c r="I444" s="19"/>
      <c r="J444" s="20"/>
      <c r="K444" s="20"/>
      <c r="L444" s="19"/>
      <c r="M444" s="19"/>
      <c r="N444" s="19"/>
      <c r="O444" s="20"/>
      <c r="P444" s="20"/>
    </row>
    <row r="445" customFormat="false" ht="14.25" hidden="false" customHeight="true" outlineLevel="0" collapsed="false">
      <c r="A445" s="3" t="s">
        <v>1259</v>
      </c>
      <c r="B445" s="3" t="s">
        <v>1260</v>
      </c>
      <c r="C445" s="3" t="n">
        <v>221074</v>
      </c>
      <c r="D445" s="3" t="s">
        <v>1281</v>
      </c>
      <c r="E445" s="18" t="n">
        <v>45139</v>
      </c>
      <c r="F445" s="3" t="s">
        <v>1262</v>
      </c>
      <c r="G445" s="3" t="s">
        <v>5</v>
      </c>
      <c r="H445" s="19"/>
      <c r="I445" s="19"/>
      <c r="J445" s="20"/>
      <c r="K445" s="20"/>
      <c r="L445" s="19"/>
      <c r="M445" s="19"/>
      <c r="N445" s="19"/>
      <c r="O445" s="20"/>
      <c r="P445" s="20"/>
    </row>
    <row r="446" customFormat="false" ht="14.25" hidden="false" customHeight="true" outlineLevel="0" collapsed="false">
      <c r="A446" s="3" t="s">
        <v>1259</v>
      </c>
      <c r="B446" s="3" t="s">
        <v>1260</v>
      </c>
      <c r="C446" s="3" t="n">
        <v>221074</v>
      </c>
      <c r="D446" s="3" t="s">
        <v>1282</v>
      </c>
      <c r="E446" s="18" t="n">
        <v>45155</v>
      </c>
      <c r="F446" s="3" t="s">
        <v>1262</v>
      </c>
      <c r="G446" s="3" t="s">
        <v>5</v>
      </c>
      <c r="H446" s="19"/>
      <c r="I446" s="19"/>
      <c r="J446" s="20"/>
      <c r="K446" s="20"/>
      <c r="L446" s="19"/>
      <c r="M446" s="19"/>
      <c r="N446" s="19"/>
      <c r="O446" s="20"/>
      <c r="P446" s="20"/>
    </row>
    <row r="447" customFormat="false" ht="14.25" hidden="false" customHeight="true" outlineLevel="0" collapsed="false">
      <c r="A447" s="3" t="s">
        <v>1259</v>
      </c>
      <c r="B447" s="3" t="s">
        <v>1260</v>
      </c>
      <c r="C447" s="3" t="n">
        <v>221074</v>
      </c>
      <c r="D447" s="3" t="s">
        <v>1283</v>
      </c>
      <c r="E447" s="18" t="n">
        <v>45167</v>
      </c>
      <c r="F447" s="3" t="s">
        <v>1262</v>
      </c>
      <c r="G447" s="3" t="s">
        <v>5</v>
      </c>
      <c r="H447" s="19"/>
      <c r="I447" s="19"/>
      <c r="J447" s="20"/>
      <c r="K447" s="20"/>
      <c r="L447" s="19"/>
      <c r="M447" s="19"/>
      <c r="N447" s="19"/>
      <c r="O447" s="20"/>
      <c r="P447" s="20"/>
    </row>
    <row r="448" customFormat="false" ht="14.25" hidden="false" customHeight="true" outlineLevel="0" collapsed="false">
      <c r="A448" s="3" t="s">
        <v>1259</v>
      </c>
      <c r="B448" s="3" t="s">
        <v>1260</v>
      </c>
      <c r="C448" s="3" t="n">
        <v>221074</v>
      </c>
      <c r="D448" s="3" t="s">
        <v>1284</v>
      </c>
      <c r="E448" s="18" t="n">
        <v>45183</v>
      </c>
      <c r="F448" s="3" t="s">
        <v>1262</v>
      </c>
      <c r="G448" s="3" t="s">
        <v>5</v>
      </c>
      <c r="H448" s="19"/>
      <c r="I448" s="19"/>
      <c r="J448" s="20"/>
      <c r="K448" s="20"/>
      <c r="L448" s="19"/>
      <c r="M448" s="19"/>
      <c r="N448" s="19"/>
      <c r="O448" s="20"/>
      <c r="P448" s="20"/>
    </row>
    <row r="449" customFormat="false" ht="14.25" hidden="false" customHeight="true" outlineLevel="0" collapsed="false">
      <c r="A449" s="3" t="s">
        <v>1259</v>
      </c>
      <c r="B449" s="3" t="s">
        <v>1260</v>
      </c>
      <c r="C449" s="3" t="n">
        <v>221074</v>
      </c>
      <c r="D449" s="3" t="s">
        <v>1389</v>
      </c>
      <c r="E449" s="18" t="n">
        <v>45190</v>
      </c>
      <c r="F449" s="3" t="s">
        <v>1262</v>
      </c>
      <c r="G449" s="3" t="s">
        <v>1275</v>
      </c>
      <c r="H449" s="19"/>
      <c r="I449" s="19"/>
      <c r="J449" s="20"/>
      <c r="K449" s="20"/>
      <c r="L449" s="19"/>
      <c r="M449" s="19"/>
      <c r="N449" s="19"/>
      <c r="O449" s="20"/>
      <c r="P449" s="20"/>
    </row>
    <row r="450" customFormat="false" ht="14.25" hidden="false" customHeight="true" outlineLevel="0" collapsed="false">
      <c r="A450" s="3" t="s">
        <v>1259</v>
      </c>
      <c r="B450" s="3" t="s">
        <v>1260</v>
      </c>
      <c r="C450" s="3" t="n">
        <v>221074</v>
      </c>
      <c r="D450" s="3" t="s">
        <v>1286</v>
      </c>
      <c r="E450" s="18" t="n">
        <v>45195</v>
      </c>
      <c r="F450" s="3" t="s">
        <v>1262</v>
      </c>
      <c r="G450" s="3" t="s">
        <v>5</v>
      </c>
      <c r="H450" s="19"/>
      <c r="I450" s="19"/>
      <c r="J450" s="20"/>
      <c r="K450" s="20"/>
      <c r="L450" s="19"/>
      <c r="M450" s="19"/>
      <c r="N450" s="19"/>
      <c r="O450" s="20"/>
      <c r="P450" s="20"/>
    </row>
    <row r="451" customFormat="false" ht="14.25" hidden="false" customHeight="true" outlineLevel="0" collapsed="false">
      <c r="A451" s="3" t="s">
        <v>1259</v>
      </c>
      <c r="B451" s="3" t="s">
        <v>1260</v>
      </c>
      <c r="C451" s="3" t="n">
        <v>221074</v>
      </c>
      <c r="D451" s="3" t="s">
        <v>1287</v>
      </c>
      <c r="E451" s="18" t="n">
        <v>45211</v>
      </c>
      <c r="F451" s="3" t="s">
        <v>1262</v>
      </c>
      <c r="G451" s="3" t="s">
        <v>5</v>
      </c>
      <c r="H451" s="19"/>
      <c r="I451" s="19"/>
      <c r="J451" s="20"/>
      <c r="K451" s="20"/>
      <c r="L451" s="19"/>
      <c r="M451" s="19"/>
      <c r="N451" s="19"/>
      <c r="O451" s="20"/>
      <c r="P451" s="20"/>
    </row>
    <row r="452" customFormat="false" ht="14.25" hidden="false" customHeight="true" outlineLevel="0" collapsed="false">
      <c r="A452" s="3" t="s">
        <v>1259</v>
      </c>
      <c r="B452" s="3" t="s">
        <v>1260</v>
      </c>
      <c r="C452" s="3" t="n">
        <v>221074</v>
      </c>
      <c r="D452" s="3" t="s">
        <v>1288</v>
      </c>
      <c r="E452" s="18" t="n">
        <v>45223</v>
      </c>
      <c r="F452" s="3" t="s">
        <v>1262</v>
      </c>
      <c r="G452" s="3" t="s">
        <v>5</v>
      </c>
      <c r="H452" s="19"/>
      <c r="I452" s="19"/>
      <c r="J452" s="20"/>
      <c r="K452" s="20"/>
      <c r="L452" s="19"/>
      <c r="M452" s="19"/>
      <c r="N452" s="19"/>
      <c r="O452" s="20"/>
      <c r="P452" s="20"/>
    </row>
    <row r="453" customFormat="false" ht="14.25" hidden="false" customHeight="true" outlineLevel="0" collapsed="false">
      <c r="A453" s="3" t="s">
        <v>1259</v>
      </c>
      <c r="B453" s="3" t="s">
        <v>1260</v>
      </c>
      <c r="C453" s="3" t="n">
        <v>221074</v>
      </c>
      <c r="D453" s="3" t="s">
        <v>1289</v>
      </c>
      <c r="E453" s="18" t="n">
        <v>45237</v>
      </c>
      <c r="F453" s="3" t="s">
        <v>1262</v>
      </c>
      <c r="G453" s="3" t="s">
        <v>5</v>
      </c>
      <c r="H453" s="19"/>
      <c r="I453" s="19"/>
      <c r="J453" s="20"/>
      <c r="K453" s="20"/>
      <c r="L453" s="19"/>
      <c r="M453" s="19"/>
      <c r="N453" s="19"/>
      <c r="O453" s="20"/>
      <c r="P453" s="20"/>
    </row>
    <row r="454" customFormat="false" ht="14.25" hidden="false" customHeight="true" outlineLevel="0" collapsed="false">
      <c r="A454" s="3" t="s">
        <v>1259</v>
      </c>
      <c r="B454" s="3" t="s">
        <v>1260</v>
      </c>
      <c r="C454" s="3" t="n">
        <v>221074</v>
      </c>
      <c r="D454" s="3" t="s">
        <v>1290</v>
      </c>
      <c r="E454" s="18" t="n">
        <v>45252</v>
      </c>
      <c r="F454" s="3" t="s">
        <v>1262</v>
      </c>
      <c r="G454" s="3" t="s">
        <v>5</v>
      </c>
      <c r="H454" s="19"/>
      <c r="I454" s="19"/>
      <c r="J454" s="20"/>
      <c r="K454" s="20"/>
      <c r="L454" s="19"/>
      <c r="M454" s="19"/>
      <c r="N454" s="19"/>
      <c r="O454" s="20"/>
      <c r="P454" s="20"/>
    </row>
    <row r="455" customFormat="false" ht="14.25" hidden="false" customHeight="true" outlineLevel="0" collapsed="false">
      <c r="A455" s="3" t="s">
        <v>1259</v>
      </c>
      <c r="B455" s="3" t="s">
        <v>1260</v>
      </c>
      <c r="C455" s="3" t="n">
        <v>221074</v>
      </c>
      <c r="D455" s="3" t="s">
        <v>1390</v>
      </c>
      <c r="E455" s="18" t="n">
        <v>45259</v>
      </c>
      <c r="F455" s="3" t="s">
        <v>1262</v>
      </c>
      <c r="G455" s="3" t="s">
        <v>1275</v>
      </c>
      <c r="H455" s="19"/>
      <c r="I455" s="19"/>
      <c r="J455" s="20"/>
      <c r="K455" s="20"/>
      <c r="L455" s="19"/>
      <c r="M455" s="19"/>
      <c r="N455" s="19"/>
      <c r="O455" s="20"/>
      <c r="P455" s="20"/>
    </row>
    <row r="456" customFormat="false" ht="14.25" hidden="false" customHeight="true" outlineLevel="0" collapsed="false">
      <c r="A456" s="3" t="s">
        <v>1259</v>
      </c>
      <c r="B456" s="3" t="s">
        <v>1260</v>
      </c>
      <c r="C456" s="3" t="n">
        <v>221074</v>
      </c>
      <c r="D456" s="3" t="s">
        <v>1292</v>
      </c>
      <c r="E456" s="18" t="n">
        <v>45265</v>
      </c>
      <c r="F456" s="3" t="s">
        <v>1262</v>
      </c>
      <c r="G456" s="3" t="s">
        <v>5</v>
      </c>
      <c r="H456" s="19"/>
      <c r="I456" s="19"/>
      <c r="J456" s="20"/>
      <c r="K456" s="20"/>
      <c r="L456" s="19"/>
      <c r="M456" s="19"/>
      <c r="N456" s="19"/>
      <c r="O456" s="20"/>
      <c r="P456" s="20"/>
    </row>
    <row r="457" customFormat="false" ht="14.25" hidden="false" customHeight="true" outlineLevel="0" collapsed="false">
      <c r="A457" s="3" t="s">
        <v>1259</v>
      </c>
      <c r="B457" s="3" t="s">
        <v>1260</v>
      </c>
      <c r="C457" s="3" t="n">
        <v>221074</v>
      </c>
      <c r="D457" s="3" t="s">
        <v>1293</v>
      </c>
      <c r="E457" s="18" t="n">
        <v>45281</v>
      </c>
      <c r="F457" s="3" t="s">
        <v>1262</v>
      </c>
      <c r="G457" s="3" t="s">
        <v>5</v>
      </c>
      <c r="H457" s="19"/>
      <c r="I457" s="19"/>
      <c r="J457" s="20"/>
      <c r="K457" s="20"/>
      <c r="L457" s="19"/>
      <c r="M457" s="19"/>
      <c r="N457" s="19"/>
      <c r="O457" s="20"/>
      <c r="P457" s="20"/>
    </row>
    <row r="458" customFormat="false" ht="14.25" hidden="false" customHeight="true" outlineLevel="0" collapsed="false">
      <c r="A458" s="3" t="s">
        <v>1259</v>
      </c>
      <c r="B458" s="3" t="s">
        <v>1260</v>
      </c>
      <c r="C458" s="3" t="n">
        <v>221074</v>
      </c>
      <c r="D458" s="3" t="s">
        <v>1294</v>
      </c>
      <c r="E458" s="18" t="n">
        <v>45295</v>
      </c>
      <c r="F458" s="3" t="s">
        <v>1262</v>
      </c>
      <c r="G458" s="3" t="s">
        <v>5</v>
      </c>
      <c r="H458" s="19"/>
      <c r="I458" s="19"/>
      <c r="J458" s="20"/>
      <c r="K458" s="20"/>
      <c r="L458" s="19"/>
      <c r="M458" s="19"/>
      <c r="N458" s="19"/>
      <c r="O458" s="20"/>
      <c r="P458" s="20"/>
    </row>
    <row r="459" customFormat="false" ht="14.25" hidden="false" customHeight="true" outlineLevel="0" collapsed="false">
      <c r="A459" s="3" t="s">
        <v>1259</v>
      </c>
      <c r="B459" s="3" t="s">
        <v>1260</v>
      </c>
      <c r="C459" s="3" t="n">
        <v>221074</v>
      </c>
      <c r="D459" s="3" t="s">
        <v>1295</v>
      </c>
      <c r="E459" s="18" t="n">
        <v>45307</v>
      </c>
      <c r="F459" s="3" t="s">
        <v>1262</v>
      </c>
      <c r="G459" s="3" t="s">
        <v>5</v>
      </c>
      <c r="H459" s="19"/>
      <c r="I459" s="19"/>
      <c r="J459" s="20"/>
      <c r="K459" s="20"/>
      <c r="L459" s="19"/>
      <c r="M459" s="19"/>
      <c r="N459" s="19"/>
      <c r="O459" s="20"/>
      <c r="P459" s="20"/>
    </row>
    <row r="460" customFormat="false" ht="14.25" hidden="false" customHeight="true" outlineLevel="0" collapsed="false">
      <c r="A460" s="3" t="s">
        <v>1259</v>
      </c>
      <c r="B460" s="3" t="s">
        <v>1260</v>
      </c>
      <c r="C460" s="3" t="n">
        <v>221074</v>
      </c>
      <c r="D460" s="3" t="s">
        <v>1391</v>
      </c>
      <c r="E460" s="18" t="n">
        <v>45309</v>
      </c>
      <c r="F460" s="3" t="s">
        <v>1262</v>
      </c>
      <c r="G460" s="3" t="s">
        <v>1275</v>
      </c>
      <c r="H460" s="19"/>
      <c r="I460" s="19"/>
      <c r="J460" s="20"/>
      <c r="K460" s="20"/>
      <c r="L460" s="19"/>
      <c r="M460" s="19"/>
      <c r="N460" s="19"/>
      <c r="O460" s="20"/>
      <c r="P460" s="20"/>
    </row>
    <row r="461" customFormat="false" ht="14.25" hidden="false" customHeight="true" outlineLevel="0" collapsed="false">
      <c r="A461" s="3" t="s">
        <v>1259</v>
      </c>
      <c r="B461" s="3" t="s">
        <v>1260</v>
      </c>
      <c r="C461" s="3" t="n">
        <v>221074</v>
      </c>
      <c r="D461" s="3" t="s">
        <v>1297</v>
      </c>
      <c r="E461" s="18" t="n">
        <v>45323</v>
      </c>
      <c r="F461" s="3" t="s">
        <v>1262</v>
      </c>
      <c r="G461" s="3" t="s">
        <v>5</v>
      </c>
      <c r="H461" s="19"/>
      <c r="I461" s="19"/>
      <c r="J461" s="20"/>
      <c r="K461" s="20"/>
      <c r="L461" s="19"/>
      <c r="M461" s="19"/>
      <c r="N461" s="19"/>
      <c r="O461" s="20"/>
      <c r="P461" s="20"/>
    </row>
    <row r="462" customFormat="false" ht="14.25" hidden="false" customHeight="true" outlineLevel="0" collapsed="false">
      <c r="A462" s="3" t="s">
        <v>1259</v>
      </c>
      <c r="B462" s="3" t="s">
        <v>1260</v>
      </c>
      <c r="C462" s="3" t="n">
        <v>221074</v>
      </c>
      <c r="D462" s="3" t="s">
        <v>1298</v>
      </c>
      <c r="E462" s="18" t="n">
        <v>45337</v>
      </c>
      <c r="F462" s="3" t="s">
        <v>1262</v>
      </c>
      <c r="G462" s="3" t="s">
        <v>5</v>
      </c>
      <c r="H462" s="19"/>
      <c r="I462" s="19"/>
      <c r="J462" s="20"/>
      <c r="K462" s="20"/>
      <c r="L462" s="19"/>
      <c r="M462" s="19"/>
      <c r="N462" s="19"/>
      <c r="O462" s="20"/>
      <c r="P462" s="20"/>
    </row>
    <row r="463" customFormat="false" ht="14.25" hidden="false" customHeight="true" outlineLevel="0" collapsed="false">
      <c r="A463" s="3" t="s">
        <v>1259</v>
      </c>
      <c r="B463" s="3" t="s">
        <v>1260</v>
      </c>
      <c r="C463" s="3" t="n">
        <v>221074</v>
      </c>
      <c r="D463" s="3" t="s">
        <v>1299</v>
      </c>
      <c r="E463" s="18" t="n">
        <v>45349</v>
      </c>
      <c r="F463" s="3" t="s">
        <v>1262</v>
      </c>
      <c r="G463" s="3" t="s">
        <v>5</v>
      </c>
      <c r="H463" s="19"/>
      <c r="I463" s="19"/>
      <c r="J463" s="20"/>
      <c r="K463" s="20"/>
      <c r="L463" s="19"/>
      <c r="M463" s="19"/>
      <c r="N463" s="19"/>
      <c r="O463" s="20"/>
      <c r="P463" s="20"/>
    </row>
    <row r="464" customFormat="false" ht="14.25" hidden="false" customHeight="true" outlineLevel="0" collapsed="false">
      <c r="A464" s="3" t="s">
        <v>1259</v>
      </c>
      <c r="B464" s="3" t="s">
        <v>1260</v>
      </c>
      <c r="C464" s="3" t="n">
        <v>221074</v>
      </c>
      <c r="D464" s="3" t="s">
        <v>1392</v>
      </c>
      <c r="E464" s="18" t="n">
        <v>45358</v>
      </c>
      <c r="F464" s="3" t="s">
        <v>1262</v>
      </c>
      <c r="G464" s="3" t="s">
        <v>1275</v>
      </c>
      <c r="H464" s="19"/>
      <c r="I464" s="19"/>
      <c r="J464" s="20"/>
      <c r="K464" s="20"/>
      <c r="L464" s="19"/>
      <c r="M464" s="19"/>
      <c r="N464" s="19"/>
      <c r="O464" s="20"/>
      <c r="P464" s="20"/>
    </row>
    <row r="465" customFormat="false" ht="14.25" hidden="false" customHeight="true" outlineLevel="0" collapsed="false">
      <c r="A465" s="3" t="s">
        <v>1259</v>
      </c>
      <c r="B465" s="3" t="s">
        <v>1260</v>
      </c>
      <c r="C465" s="3" t="n">
        <v>221074</v>
      </c>
      <c r="D465" s="3" t="s">
        <v>1300</v>
      </c>
      <c r="E465" s="18" t="n">
        <v>45363</v>
      </c>
      <c r="F465" s="3" t="s">
        <v>1262</v>
      </c>
      <c r="G465" s="3" t="s">
        <v>5</v>
      </c>
      <c r="H465" s="19"/>
      <c r="I465" s="19"/>
      <c r="J465" s="20"/>
      <c r="K465" s="20"/>
      <c r="L465" s="19"/>
      <c r="M465" s="19"/>
      <c r="N465" s="19"/>
      <c r="O465" s="20"/>
      <c r="P465" s="20"/>
    </row>
    <row r="466" customFormat="false" ht="14.25" hidden="false" customHeight="true" outlineLevel="0" collapsed="false">
      <c r="A466" s="3" t="s">
        <v>1259</v>
      </c>
      <c r="B466" s="3" t="s">
        <v>1260</v>
      </c>
      <c r="C466" s="3" t="n">
        <v>221074</v>
      </c>
      <c r="D466" s="3" t="s">
        <v>1302</v>
      </c>
      <c r="E466" s="18" t="n">
        <v>45377</v>
      </c>
      <c r="F466" s="3" t="s">
        <v>1262</v>
      </c>
      <c r="G466" s="3" t="s">
        <v>5</v>
      </c>
      <c r="H466" s="19"/>
      <c r="I466" s="19"/>
      <c r="J466" s="20"/>
      <c r="K466" s="20"/>
      <c r="L466" s="19"/>
      <c r="M466" s="19"/>
      <c r="N466" s="19"/>
      <c r="O466" s="20"/>
      <c r="P466" s="20"/>
    </row>
    <row r="467" customFormat="false" ht="14.25" hidden="false" customHeight="true" outlineLevel="0" collapsed="false">
      <c r="A467" s="3" t="s">
        <v>1259</v>
      </c>
      <c r="B467" s="3" t="s">
        <v>1260</v>
      </c>
      <c r="C467" s="3" t="n">
        <v>221074</v>
      </c>
      <c r="D467" s="3" t="s">
        <v>1303</v>
      </c>
      <c r="E467" s="18" t="n">
        <v>45397</v>
      </c>
      <c r="F467" s="3" t="s">
        <v>1262</v>
      </c>
      <c r="G467" s="3" t="s">
        <v>5</v>
      </c>
      <c r="H467" s="19"/>
      <c r="I467" s="19"/>
      <c r="J467" s="20"/>
      <c r="K467" s="20"/>
      <c r="L467" s="19"/>
      <c r="M467" s="19"/>
      <c r="N467" s="19"/>
      <c r="O467" s="20"/>
      <c r="P467" s="20"/>
    </row>
    <row r="468" customFormat="false" ht="14.25" hidden="false" customHeight="true" outlineLevel="0" collapsed="false">
      <c r="A468" s="3" t="s">
        <v>1259</v>
      </c>
      <c r="B468" s="3" t="s">
        <v>1260</v>
      </c>
      <c r="C468" s="3" t="n">
        <v>221074</v>
      </c>
      <c r="D468" s="3" t="s">
        <v>1304</v>
      </c>
      <c r="E468" s="18" t="n">
        <v>45407</v>
      </c>
      <c r="F468" s="3" t="s">
        <v>1262</v>
      </c>
      <c r="G468" s="3" t="s">
        <v>5</v>
      </c>
      <c r="H468" s="19"/>
      <c r="I468" s="19"/>
      <c r="J468" s="20"/>
      <c r="K468" s="20"/>
      <c r="L468" s="19"/>
      <c r="M468" s="19"/>
      <c r="N468" s="19"/>
      <c r="O468" s="20"/>
      <c r="P468" s="20"/>
    </row>
    <row r="469" customFormat="false" ht="14.25" hidden="false" customHeight="true" outlineLevel="0" collapsed="false">
      <c r="A469" s="3" t="s">
        <v>1259</v>
      </c>
      <c r="B469" s="3" t="s">
        <v>1260</v>
      </c>
      <c r="C469" s="3" t="n">
        <v>221074</v>
      </c>
      <c r="D469" s="3" t="s">
        <v>1393</v>
      </c>
      <c r="E469" s="18" t="n">
        <v>45414</v>
      </c>
      <c r="F469" s="3" t="s">
        <v>1262</v>
      </c>
      <c r="G469" s="3" t="s">
        <v>1275</v>
      </c>
      <c r="H469" s="19"/>
      <c r="I469" s="19"/>
      <c r="J469" s="20"/>
      <c r="K469" s="20"/>
      <c r="L469" s="19"/>
      <c r="M469" s="19"/>
      <c r="N469" s="19"/>
      <c r="O469" s="20"/>
      <c r="P469" s="20"/>
    </row>
    <row r="470" customFormat="false" ht="14.25" hidden="false" customHeight="true" outlineLevel="0" collapsed="false">
      <c r="A470" s="3" t="s">
        <v>1259</v>
      </c>
      <c r="B470" s="3" t="s">
        <v>1260</v>
      </c>
      <c r="C470" s="3" t="n">
        <v>221074</v>
      </c>
      <c r="D470" s="3" t="s">
        <v>1305</v>
      </c>
      <c r="E470" s="18" t="n">
        <v>45421</v>
      </c>
      <c r="F470" s="3" t="s">
        <v>1262</v>
      </c>
      <c r="G470" s="3" t="s">
        <v>5</v>
      </c>
      <c r="H470" s="19"/>
      <c r="I470" s="19"/>
      <c r="J470" s="20"/>
      <c r="K470" s="20"/>
      <c r="L470" s="19"/>
      <c r="M470" s="19"/>
      <c r="N470" s="19"/>
      <c r="O470" s="20"/>
      <c r="P470" s="20"/>
    </row>
    <row r="471" customFormat="false" ht="14.25" hidden="false" customHeight="true" outlineLevel="0" collapsed="false">
      <c r="A471" s="3" t="s">
        <v>1259</v>
      </c>
      <c r="B471" s="3" t="s">
        <v>1260</v>
      </c>
      <c r="C471" s="3" t="n">
        <v>221080</v>
      </c>
      <c r="D471" s="3" t="s">
        <v>1261</v>
      </c>
      <c r="E471" s="18" t="n">
        <v>45012</v>
      </c>
      <c r="F471" s="3" t="s">
        <v>1262</v>
      </c>
      <c r="G471" s="3" t="s">
        <v>5</v>
      </c>
      <c r="H471" s="19" t="n">
        <v>45012</v>
      </c>
      <c r="I471" s="19" t="n">
        <v>44796</v>
      </c>
      <c r="J471" s="20" t="n">
        <v>50</v>
      </c>
      <c r="K471" s="20" t="s">
        <v>1263</v>
      </c>
      <c r="L471" s="19" t="s">
        <v>12</v>
      </c>
      <c r="M471" s="19"/>
      <c r="N471" s="19"/>
      <c r="O471" s="20"/>
      <c r="P471" s="20"/>
    </row>
    <row r="472" customFormat="false" ht="14.25" hidden="false" customHeight="true" outlineLevel="0" collapsed="false">
      <c r="A472" s="3" t="s">
        <v>1259</v>
      </c>
      <c r="B472" s="3" t="s">
        <v>1260</v>
      </c>
      <c r="C472" s="3" t="n">
        <v>221080</v>
      </c>
      <c r="D472" s="3" t="s">
        <v>1264</v>
      </c>
      <c r="E472" s="18" t="n">
        <v>45035</v>
      </c>
      <c r="F472" s="3" t="s">
        <v>1262</v>
      </c>
      <c r="G472" s="3" t="s">
        <v>5</v>
      </c>
      <c r="H472" s="19"/>
      <c r="I472" s="19"/>
      <c r="J472" s="20"/>
      <c r="K472" s="20"/>
      <c r="L472" s="19"/>
      <c r="M472" s="19"/>
      <c r="N472" s="19"/>
      <c r="O472" s="20"/>
      <c r="P472" s="20"/>
    </row>
    <row r="473" customFormat="false" ht="14.25" hidden="false" customHeight="true" outlineLevel="0" collapsed="false">
      <c r="A473" s="3" t="s">
        <v>1259</v>
      </c>
      <c r="B473" s="3" t="s">
        <v>1260</v>
      </c>
      <c r="C473" s="3" t="n">
        <v>221080</v>
      </c>
      <c r="D473" s="3" t="s">
        <v>1265</v>
      </c>
      <c r="E473" s="18" t="n">
        <v>45037</v>
      </c>
      <c r="F473" s="3" t="s">
        <v>1262</v>
      </c>
      <c r="G473" s="3" t="s">
        <v>5</v>
      </c>
      <c r="H473" s="19"/>
      <c r="I473" s="19"/>
      <c r="J473" s="20"/>
      <c r="K473" s="20"/>
      <c r="L473" s="19"/>
      <c r="M473" s="19"/>
      <c r="N473" s="19"/>
      <c r="O473" s="20"/>
      <c r="P473" s="20"/>
    </row>
    <row r="474" customFormat="false" ht="14.25" hidden="false" customHeight="true" outlineLevel="0" collapsed="false">
      <c r="A474" s="3" t="s">
        <v>1259</v>
      </c>
      <c r="B474" s="3" t="s">
        <v>1260</v>
      </c>
      <c r="C474" s="3" t="n">
        <v>221080</v>
      </c>
      <c r="D474" s="3" t="s">
        <v>1266</v>
      </c>
      <c r="E474" s="18" t="n">
        <v>45043</v>
      </c>
      <c r="F474" s="3" t="s">
        <v>1262</v>
      </c>
      <c r="G474" s="3" t="s">
        <v>5</v>
      </c>
      <c r="H474" s="19"/>
      <c r="I474" s="19"/>
      <c r="J474" s="20"/>
      <c r="K474" s="20"/>
      <c r="L474" s="19"/>
      <c r="M474" s="19"/>
      <c r="N474" s="19"/>
      <c r="O474" s="20"/>
      <c r="P474" s="20"/>
    </row>
    <row r="475" customFormat="false" ht="14.25" hidden="false" customHeight="true" outlineLevel="0" collapsed="false">
      <c r="A475" s="3" t="s">
        <v>1259</v>
      </c>
      <c r="B475" s="3" t="s">
        <v>1260</v>
      </c>
      <c r="C475" s="3" t="n">
        <v>221080</v>
      </c>
      <c r="D475" s="3" t="s">
        <v>1269</v>
      </c>
      <c r="E475" s="18" t="n">
        <v>45050</v>
      </c>
      <c r="F475" s="3" t="s">
        <v>1262</v>
      </c>
      <c r="G475" s="3" t="s">
        <v>5</v>
      </c>
      <c r="H475" s="19"/>
      <c r="I475" s="19"/>
      <c r="J475" s="20"/>
      <c r="K475" s="20"/>
      <c r="L475" s="19"/>
      <c r="M475" s="19"/>
      <c r="N475" s="19"/>
      <c r="O475" s="20"/>
      <c r="P475" s="20"/>
    </row>
    <row r="476" customFormat="false" ht="14.25" hidden="false" customHeight="true" outlineLevel="0" collapsed="false">
      <c r="A476" s="3" t="s">
        <v>1259</v>
      </c>
      <c r="B476" s="3" t="s">
        <v>1260</v>
      </c>
      <c r="C476" s="3" t="n">
        <v>221080</v>
      </c>
      <c r="D476" s="3" t="s">
        <v>1270</v>
      </c>
      <c r="E476" s="18" t="n">
        <v>45057</v>
      </c>
      <c r="F476" s="3" t="s">
        <v>1262</v>
      </c>
      <c r="G476" s="3" t="s">
        <v>5</v>
      </c>
      <c r="H476" s="19"/>
      <c r="I476" s="19"/>
      <c r="J476" s="20"/>
      <c r="K476" s="20"/>
      <c r="L476" s="19"/>
      <c r="M476" s="19"/>
      <c r="N476" s="19"/>
      <c r="O476" s="20"/>
      <c r="P476" s="20"/>
    </row>
    <row r="477" customFormat="false" ht="14.25" hidden="false" customHeight="true" outlineLevel="0" collapsed="false">
      <c r="A477" s="3" t="s">
        <v>1259</v>
      </c>
      <c r="B477" s="3" t="s">
        <v>1260</v>
      </c>
      <c r="C477" s="3" t="n">
        <v>221080</v>
      </c>
      <c r="D477" s="3" t="s">
        <v>1271</v>
      </c>
      <c r="E477" s="18" t="n">
        <v>45063</v>
      </c>
      <c r="F477" s="3" t="s">
        <v>1262</v>
      </c>
      <c r="G477" s="3" t="s">
        <v>5</v>
      </c>
      <c r="H477" s="19"/>
      <c r="I477" s="19"/>
      <c r="J477" s="20"/>
      <c r="K477" s="20"/>
      <c r="L477" s="19"/>
      <c r="M477" s="19"/>
      <c r="N477" s="19"/>
      <c r="O477" s="20"/>
      <c r="P477" s="20"/>
    </row>
    <row r="478" customFormat="false" ht="14.25" hidden="false" customHeight="true" outlineLevel="0" collapsed="false">
      <c r="A478" s="3" t="s">
        <v>1259</v>
      </c>
      <c r="B478" s="3" t="s">
        <v>1260</v>
      </c>
      <c r="C478" s="3" t="n">
        <v>221080</v>
      </c>
      <c r="D478" s="3" t="s">
        <v>1272</v>
      </c>
      <c r="E478" s="18" t="n">
        <v>45065</v>
      </c>
      <c r="F478" s="3" t="s">
        <v>1262</v>
      </c>
      <c r="G478" s="3" t="s">
        <v>5</v>
      </c>
      <c r="H478" s="19"/>
      <c r="I478" s="19"/>
      <c r="J478" s="20"/>
      <c r="K478" s="20"/>
      <c r="L478" s="19"/>
      <c r="M478" s="19"/>
      <c r="N478" s="19"/>
      <c r="O478" s="20"/>
      <c r="P478" s="20"/>
    </row>
    <row r="479" customFormat="false" ht="14.25" hidden="false" customHeight="true" outlineLevel="0" collapsed="false">
      <c r="A479" s="3" t="s">
        <v>1259</v>
      </c>
      <c r="B479" s="3" t="s">
        <v>1260</v>
      </c>
      <c r="C479" s="3" t="n">
        <v>221080</v>
      </c>
      <c r="D479" s="3" t="s">
        <v>1273</v>
      </c>
      <c r="E479" s="18" t="n">
        <v>45079</v>
      </c>
      <c r="F479" s="3" t="s">
        <v>1262</v>
      </c>
      <c r="G479" s="3" t="s">
        <v>5</v>
      </c>
      <c r="H479" s="19"/>
      <c r="I479" s="19"/>
      <c r="J479" s="20"/>
      <c r="K479" s="20"/>
      <c r="L479" s="19"/>
      <c r="M479" s="19"/>
      <c r="N479" s="19"/>
      <c r="O479" s="20"/>
      <c r="P479" s="20"/>
    </row>
    <row r="480" customFormat="false" ht="14.25" hidden="false" customHeight="true" outlineLevel="0" collapsed="false">
      <c r="A480" s="3" t="s">
        <v>1259</v>
      </c>
      <c r="B480" s="3" t="s">
        <v>1260</v>
      </c>
      <c r="C480" s="3" t="n">
        <v>221080</v>
      </c>
      <c r="D480" s="3" t="s">
        <v>1394</v>
      </c>
      <c r="E480" s="18" t="n">
        <v>45089</v>
      </c>
      <c r="F480" s="3" t="s">
        <v>1262</v>
      </c>
      <c r="G480" s="3" t="s">
        <v>1275</v>
      </c>
      <c r="H480" s="19"/>
      <c r="I480" s="19"/>
      <c r="J480" s="20"/>
      <c r="K480" s="20"/>
      <c r="L480" s="19"/>
      <c r="M480" s="19"/>
      <c r="N480" s="19"/>
      <c r="O480" s="20"/>
      <c r="P480" s="20"/>
    </row>
    <row r="481" customFormat="false" ht="14.25" hidden="false" customHeight="true" outlineLevel="0" collapsed="false">
      <c r="A481" s="3" t="s">
        <v>1259</v>
      </c>
      <c r="B481" s="3" t="s">
        <v>1260</v>
      </c>
      <c r="C481" s="3" t="n">
        <v>221080</v>
      </c>
      <c r="D481" s="3" t="s">
        <v>1276</v>
      </c>
      <c r="E481" s="18" t="n">
        <v>45093</v>
      </c>
      <c r="F481" s="3" t="s">
        <v>1262</v>
      </c>
      <c r="G481" s="3" t="s">
        <v>5</v>
      </c>
      <c r="H481" s="19"/>
      <c r="I481" s="19"/>
      <c r="J481" s="20"/>
      <c r="K481" s="20"/>
      <c r="L481" s="19"/>
      <c r="M481" s="19"/>
      <c r="N481" s="19"/>
      <c r="O481" s="20"/>
      <c r="P481" s="20"/>
    </row>
    <row r="482" customFormat="false" ht="14.25" hidden="false" customHeight="true" outlineLevel="0" collapsed="false">
      <c r="A482" s="3" t="s">
        <v>1259</v>
      </c>
      <c r="B482" s="3" t="s">
        <v>1260</v>
      </c>
      <c r="C482" s="3" t="n">
        <v>221080</v>
      </c>
      <c r="D482" s="3" t="s">
        <v>1277</v>
      </c>
      <c r="E482" s="18" t="n">
        <v>45103</v>
      </c>
      <c r="F482" s="3" t="s">
        <v>1262</v>
      </c>
      <c r="G482" s="3" t="s">
        <v>5</v>
      </c>
      <c r="H482" s="19"/>
      <c r="I482" s="19"/>
      <c r="J482" s="20"/>
      <c r="K482" s="20"/>
      <c r="L482" s="19"/>
      <c r="M482" s="19"/>
      <c r="N482" s="19"/>
      <c r="O482" s="20"/>
      <c r="P482" s="20"/>
    </row>
    <row r="483" customFormat="false" ht="14.25" hidden="false" customHeight="true" outlineLevel="0" collapsed="false">
      <c r="A483" s="3" t="s">
        <v>1259</v>
      </c>
      <c r="B483" s="3" t="s">
        <v>1260</v>
      </c>
      <c r="C483" s="3" t="n">
        <v>221080</v>
      </c>
      <c r="D483" s="3" t="s">
        <v>1278</v>
      </c>
      <c r="E483" s="18" t="n">
        <v>45117</v>
      </c>
      <c r="F483" s="3" t="s">
        <v>1262</v>
      </c>
      <c r="G483" s="3" t="s">
        <v>5</v>
      </c>
      <c r="H483" s="19"/>
      <c r="I483" s="19"/>
      <c r="J483" s="20"/>
      <c r="K483" s="20"/>
      <c r="L483" s="19"/>
      <c r="M483" s="19"/>
      <c r="N483" s="19"/>
      <c r="O483" s="20"/>
      <c r="P483" s="20"/>
    </row>
    <row r="484" customFormat="false" ht="14.25" hidden="false" customHeight="true" outlineLevel="0" collapsed="false">
      <c r="A484" s="3" t="s">
        <v>1259</v>
      </c>
      <c r="B484" s="3" t="s">
        <v>1260</v>
      </c>
      <c r="C484" s="3" t="n">
        <v>221080</v>
      </c>
      <c r="D484" s="3" t="s">
        <v>1279</v>
      </c>
      <c r="E484" s="18" t="n">
        <v>45131</v>
      </c>
      <c r="F484" s="3" t="s">
        <v>1262</v>
      </c>
      <c r="G484" s="3" t="s">
        <v>5</v>
      </c>
      <c r="H484" s="19"/>
      <c r="I484" s="19"/>
      <c r="J484" s="20"/>
      <c r="K484" s="20"/>
      <c r="L484" s="19"/>
      <c r="M484" s="19"/>
      <c r="N484" s="19"/>
      <c r="O484" s="20"/>
      <c r="P484" s="20"/>
    </row>
    <row r="485" customFormat="false" ht="14.25" hidden="false" customHeight="true" outlineLevel="0" collapsed="false">
      <c r="A485" s="3" t="s">
        <v>1259</v>
      </c>
      <c r="B485" s="3" t="s">
        <v>1260</v>
      </c>
      <c r="C485" s="3" t="n">
        <v>221080</v>
      </c>
      <c r="D485" s="3" t="s">
        <v>1395</v>
      </c>
      <c r="E485" s="18" t="n">
        <v>45142</v>
      </c>
      <c r="F485" s="3" t="s">
        <v>1262</v>
      </c>
      <c r="G485" s="3" t="s">
        <v>1275</v>
      </c>
      <c r="H485" s="19"/>
      <c r="I485" s="19"/>
      <c r="J485" s="20"/>
      <c r="K485" s="20"/>
      <c r="L485" s="19"/>
      <c r="M485" s="19"/>
      <c r="N485" s="19"/>
      <c r="O485" s="20"/>
      <c r="P485" s="20"/>
    </row>
    <row r="486" customFormat="false" ht="14.25" hidden="false" customHeight="true" outlineLevel="0" collapsed="false">
      <c r="A486" s="3" t="s">
        <v>1259</v>
      </c>
      <c r="B486" s="3" t="s">
        <v>1260</v>
      </c>
      <c r="C486" s="3" t="n">
        <v>221080</v>
      </c>
      <c r="D486" s="3" t="s">
        <v>1281</v>
      </c>
      <c r="E486" s="18" t="n">
        <v>45145</v>
      </c>
      <c r="F486" s="3" t="s">
        <v>1262</v>
      </c>
      <c r="G486" s="3" t="s">
        <v>5</v>
      </c>
      <c r="H486" s="19"/>
      <c r="I486" s="19"/>
      <c r="J486" s="20"/>
      <c r="K486" s="20"/>
      <c r="L486" s="19"/>
      <c r="M486" s="19"/>
      <c r="N486" s="19"/>
      <c r="O486" s="20"/>
      <c r="P486" s="20"/>
    </row>
    <row r="487" customFormat="false" ht="14.25" hidden="false" customHeight="true" outlineLevel="0" collapsed="false">
      <c r="A487" s="3" t="s">
        <v>1259</v>
      </c>
      <c r="B487" s="3" t="s">
        <v>1260</v>
      </c>
      <c r="C487" s="3" t="n">
        <v>221080</v>
      </c>
      <c r="D487" s="3" t="s">
        <v>1282</v>
      </c>
      <c r="E487" s="18" t="n">
        <v>45159</v>
      </c>
      <c r="F487" s="3" t="s">
        <v>1262</v>
      </c>
      <c r="G487" s="3" t="s">
        <v>5</v>
      </c>
      <c r="H487" s="19"/>
      <c r="I487" s="19"/>
      <c r="J487" s="20"/>
      <c r="K487" s="20"/>
      <c r="L487" s="19"/>
      <c r="M487" s="19"/>
      <c r="N487" s="19"/>
      <c r="O487" s="20"/>
      <c r="P487" s="20"/>
    </row>
    <row r="488" customFormat="false" ht="14.25" hidden="false" customHeight="true" outlineLevel="0" collapsed="false">
      <c r="A488" s="3" t="s">
        <v>1259</v>
      </c>
      <c r="B488" s="3" t="s">
        <v>1260</v>
      </c>
      <c r="C488" s="3" t="n">
        <v>221080</v>
      </c>
      <c r="D488" s="3" t="s">
        <v>1283</v>
      </c>
      <c r="E488" s="18" t="n">
        <v>45173</v>
      </c>
      <c r="F488" s="3" t="s">
        <v>1262</v>
      </c>
      <c r="G488" s="3" t="s">
        <v>5</v>
      </c>
      <c r="H488" s="19"/>
      <c r="I488" s="19"/>
      <c r="J488" s="20"/>
      <c r="K488" s="20"/>
      <c r="L488" s="19"/>
      <c r="M488" s="19"/>
      <c r="N488" s="19"/>
      <c r="O488" s="20"/>
      <c r="P488" s="20"/>
    </row>
    <row r="489" customFormat="false" ht="14.25" hidden="false" customHeight="true" outlineLevel="0" collapsed="false">
      <c r="A489" s="3" t="s">
        <v>1259</v>
      </c>
      <c r="B489" s="3" t="s">
        <v>1260</v>
      </c>
      <c r="C489" s="3" t="n">
        <v>221080</v>
      </c>
      <c r="D489" s="3" t="s">
        <v>1284</v>
      </c>
      <c r="E489" s="18" t="n">
        <v>45187</v>
      </c>
      <c r="F489" s="3" t="s">
        <v>1262</v>
      </c>
      <c r="G489" s="3" t="s">
        <v>5</v>
      </c>
      <c r="H489" s="19"/>
      <c r="I489" s="19"/>
      <c r="J489" s="20"/>
      <c r="K489" s="20"/>
      <c r="L489" s="19"/>
      <c r="M489" s="19"/>
      <c r="N489" s="19"/>
      <c r="O489" s="20"/>
      <c r="P489" s="20"/>
    </row>
    <row r="490" customFormat="false" ht="14.25" hidden="false" customHeight="true" outlineLevel="0" collapsed="false">
      <c r="A490" s="3" t="s">
        <v>1259</v>
      </c>
      <c r="B490" s="3" t="s">
        <v>1260</v>
      </c>
      <c r="C490" s="3" t="n">
        <v>221080</v>
      </c>
      <c r="D490" s="3" t="s">
        <v>1396</v>
      </c>
      <c r="E490" s="18" t="n">
        <v>45196</v>
      </c>
      <c r="F490" s="3" t="s">
        <v>1262</v>
      </c>
      <c r="G490" s="3" t="s">
        <v>1275</v>
      </c>
      <c r="H490" s="19"/>
      <c r="I490" s="19"/>
      <c r="J490" s="20"/>
      <c r="K490" s="20"/>
      <c r="L490" s="19"/>
      <c r="M490" s="19"/>
      <c r="N490" s="19"/>
      <c r="O490" s="20"/>
      <c r="P490" s="20"/>
    </row>
    <row r="491" customFormat="false" ht="14.25" hidden="false" customHeight="true" outlineLevel="0" collapsed="false">
      <c r="A491" s="3" t="s">
        <v>1259</v>
      </c>
      <c r="B491" s="3" t="s">
        <v>1260</v>
      </c>
      <c r="C491" s="3" t="n">
        <v>221080</v>
      </c>
      <c r="D491" s="3" t="s">
        <v>1286</v>
      </c>
      <c r="E491" s="18" t="n">
        <v>45204</v>
      </c>
      <c r="F491" s="3" t="s">
        <v>1262</v>
      </c>
      <c r="G491" s="3" t="s">
        <v>5</v>
      </c>
      <c r="H491" s="19"/>
      <c r="I491" s="19"/>
      <c r="J491" s="20"/>
      <c r="K491" s="20"/>
      <c r="L491" s="19"/>
      <c r="M491" s="19"/>
      <c r="N491" s="19"/>
      <c r="O491" s="20"/>
      <c r="P491" s="20"/>
    </row>
    <row r="492" customFormat="false" ht="14.25" hidden="false" customHeight="true" outlineLevel="0" collapsed="false">
      <c r="A492" s="3" t="s">
        <v>1259</v>
      </c>
      <c r="B492" s="3" t="s">
        <v>1260</v>
      </c>
      <c r="C492" s="3" t="n">
        <v>221080</v>
      </c>
      <c r="D492" s="3" t="s">
        <v>1287</v>
      </c>
      <c r="E492" s="18" t="n">
        <v>45215</v>
      </c>
      <c r="F492" s="3" t="s">
        <v>1262</v>
      </c>
      <c r="G492" s="3" t="s">
        <v>5</v>
      </c>
      <c r="H492" s="19"/>
      <c r="I492" s="19"/>
      <c r="J492" s="20"/>
      <c r="K492" s="20"/>
      <c r="L492" s="19"/>
      <c r="M492" s="19"/>
      <c r="N492" s="19"/>
      <c r="O492" s="20"/>
      <c r="P492" s="20"/>
    </row>
    <row r="493" customFormat="false" ht="14.25" hidden="false" customHeight="true" outlineLevel="0" collapsed="false">
      <c r="A493" s="3" t="s">
        <v>1259</v>
      </c>
      <c r="B493" s="3" t="s">
        <v>1260</v>
      </c>
      <c r="C493" s="3" t="n">
        <v>221080</v>
      </c>
      <c r="D493" s="3" t="s">
        <v>1288</v>
      </c>
      <c r="E493" s="18" t="n">
        <v>45229</v>
      </c>
      <c r="F493" s="3" t="s">
        <v>1262</v>
      </c>
      <c r="G493" s="3" t="s">
        <v>5</v>
      </c>
      <c r="H493" s="19"/>
      <c r="I493" s="19"/>
      <c r="J493" s="20"/>
      <c r="K493" s="20"/>
      <c r="L493" s="19"/>
      <c r="M493" s="19"/>
      <c r="N493" s="19"/>
      <c r="O493" s="20"/>
      <c r="P493" s="20"/>
    </row>
    <row r="494" customFormat="false" ht="14.25" hidden="false" customHeight="true" outlineLevel="0" collapsed="false">
      <c r="A494" s="3" t="s">
        <v>1259</v>
      </c>
      <c r="B494" s="3" t="s">
        <v>1260</v>
      </c>
      <c r="C494" s="3" t="n">
        <v>221080</v>
      </c>
      <c r="D494" s="3" t="s">
        <v>1289</v>
      </c>
      <c r="E494" s="18" t="n">
        <v>45243</v>
      </c>
      <c r="F494" s="3" t="s">
        <v>1262</v>
      </c>
      <c r="G494" s="3" t="s">
        <v>5</v>
      </c>
      <c r="H494" s="19"/>
      <c r="I494" s="19"/>
      <c r="J494" s="20"/>
      <c r="K494" s="20"/>
      <c r="L494" s="19"/>
      <c r="M494" s="19"/>
      <c r="N494" s="19"/>
      <c r="O494" s="20"/>
      <c r="P494" s="20"/>
    </row>
    <row r="495" customFormat="false" ht="14.25" hidden="false" customHeight="true" outlineLevel="0" collapsed="false">
      <c r="A495" s="3" t="s">
        <v>1259</v>
      </c>
      <c r="B495" s="3" t="s">
        <v>1260</v>
      </c>
      <c r="C495" s="3" t="n">
        <v>221080</v>
      </c>
      <c r="D495" s="3" t="s">
        <v>1397</v>
      </c>
      <c r="E495" s="18" t="n">
        <v>45254</v>
      </c>
      <c r="F495" s="3" t="s">
        <v>1262</v>
      </c>
      <c r="G495" s="3" t="s">
        <v>1275</v>
      </c>
      <c r="H495" s="19"/>
      <c r="I495" s="19"/>
      <c r="J495" s="20"/>
      <c r="K495" s="20"/>
      <c r="L495" s="19"/>
      <c r="M495" s="19"/>
      <c r="N495" s="19"/>
      <c r="O495" s="20"/>
      <c r="P495" s="20"/>
    </row>
    <row r="496" customFormat="false" ht="14.25" hidden="false" customHeight="true" outlineLevel="0" collapsed="false">
      <c r="A496" s="3" t="s">
        <v>1259</v>
      </c>
      <c r="B496" s="3" t="s">
        <v>1260</v>
      </c>
      <c r="C496" s="3" t="n">
        <v>221080</v>
      </c>
      <c r="D496" s="3" t="s">
        <v>1290</v>
      </c>
      <c r="E496" s="18" t="n">
        <v>45257</v>
      </c>
      <c r="F496" s="3" t="s">
        <v>1262</v>
      </c>
      <c r="G496" s="3" t="s">
        <v>5</v>
      </c>
      <c r="H496" s="19"/>
      <c r="I496" s="19"/>
      <c r="J496" s="20"/>
      <c r="K496" s="20"/>
      <c r="L496" s="19"/>
      <c r="M496" s="19"/>
      <c r="N496" s="19"/>
      <c r="O496" s="20"/>
      <c r="P496" s="20"/>
    </row>
    <row r="497" customFormat="false" ht="14.25" hidden="false" customHeight="true" outlineLevel="0" collapsed="false">
      <c r="A497" s="3" t="s">
        <v>1259</v>
      </c>
      <c r="B497" s="3" t="s">
        <v>1260</v>
      </c>
      <c r="C497" s="3" t="n">
        <v>221080</v>
      </c>
      <c r="D497" s="3" t="s">
        <v>1292</v>
      </c>
      <c r="E497" s="18" t="n">
        <v>45271</v>
      </c>
      <c r="F497" s="3" t="s">
        <v>1262</v>
      </c>
      <c r="G497" s="3" t="s">
        <v>5</v>
      </c>
      <c r="H497" s="19"/>
      <c r="I497" s="19"/>
      <c r="J497" s="20"/>
      <c r="K497" s="20"/>
      <c r="L497" s="19"/>
      <c r="M497" s="19"/>
      <c r="N497" s="19"/>
      <c r="O497" s="20"/>
      <c r="P497" s="20"/>
    </row>
    <row r="498" customFormat="false" ht="14.25" hidden="false" customHeight="true" outlineLevel="0" collapsed="false">
      <c r="A498" s="3" t="s">
        <v>1259</v>
      </c>
      <c r="B498" s="3" t="s">
        <v>1260</v>
      </c>
      <c r="C498" s="3" t="n">
        <v>221080</v>
      </c>
      <c r="D498" s="3" t="s">
        <v>1293</v>
      </c>
      <c r="E498" s="18" t="n">
        <v>45286</v>
      </c>
      <c r="F498" s="3" t="s">
        <v>1262</v>
      </c>
      <c r="G498" s="3" t="s">
        <v>5</v>
      </c>
      <c r="H498" s="19"/>
      <c r="I498" s="19"/>
      <c r="J498" s="20"/>
      <c r="K498" s="20"/>
      <c r="L498" s="19"/>
      <c r="M498" s="19"/>
      <c r="N498" s="19"/>
      <c r="O498" s="20"/>
      <c r="P498" s="20"/>
    </row>
    <row r="499" customFormat="false" ht="14.25" hidden="false" customHeight="true" outlineLevel="0" collapsed="false">
      <c r="A499" s="3" t="s">
        <v>1259</v>
      </c>
      <c r="B499" s="3" t="s">
        <v>1260</v>
      </c>
      <c r="C499" s="3" t="n">
        <v>221080</v>
      </c>
      <c r="D499" s="3" t="s">
        <v>1294</v>
      </c>
      <c r="E499" s="18" t="n">
        <v>45299</v>
      </c>
      <c r="F499" s="3" t="s">
        <v>1262</v>
      </c>
      <c r="G499" s="3" t="s">
        <v>5</v>
      </c>
      <c r="H499" s="19"/>
      <c r="I499" s="19"/>
      <c r="J499" s="20"/>
      <c r="K499" s="20"/>
      <c r="L499" s="19"/>
      <c r="M499" s="19"/>
      <c r="N499" s="19"/>
      <c r="O499" s="20"/>
      <c r="P499" s="20"/>
    </row>
    <row r="500" customFormat="false" ht="14.25" hidden="false" customHeight="true" outlineLevel="0" collapsed="false">
      <c r="A500" s="3" t="s">
        <v>1259</v>
      </c>
      <c r="B500" s="3" t="s">
        <v>1260</v>
      </c>
      <c r="C500" s="3" t="n">
        <v>221080</v>
      </c>
      <c r="D500" s="3" t="s">
        <v>1398</v>
      </c>
      <c r="E500" s="18" t="n">
        <v>45306</v>
      </c>
      <c r="F500" s="3" t="s">
        <v>1262</v>
      </c>
      <c r="G500" s="3" t="s">
        <v>1268</v>
      </c>
      <c r="H500" s="19"/>
      <c r="I500" s="19"/>
      <c r="J500" s="20"/>
      <c r="K500" s="20"/>
      <c r="L500" s="19"/>
      <c r="M500" s="19"/>
      <c r="N500" s="19"/>
      <c r="O500" s="20"/>
      <c r="P500" s="20"/>
    </row>
    <row r="501" customFormat="false" ht="14.25" hidden="false" customHeight="true" outlineLevel="0" collapsed="false">
      <c r="A501" s="3" t="s">
        <v>1259</v>
      </c>
      <c r="B501" s="3" t="s">
        <v>1260</v>
      </c>
      <c r="C501" s="3" t="n">
        <v>221080</v>
      </c>
      <c r="D501" s="3" t="s">
        <v>1295</v>
      </c>
      <c r="E501" s="18" t="n">
        <v>45313</v>
      </c>
      <c r="F501" s="3" t="s">
        <v>1262</v>
      </c>
      <c r="G501" s="3" t="s">
        <v>5</v>
      </c>
      <c r="H501" s="19"/>
      <c r="I501" s="19"/>
      <c r="J501" s="20"/>
      <c r="K501" s="20"/>
      <c r="L501" s="19"/>
      <c r="M501" s="19"/>
      <c r="N501" s="19"/>
      <c r="O501" s="20"/>
      <c r="P501" s="20"/>
    </row>
    <row r="502" customFormat="false" ht="14.25" hidden="false" customHeight="true" outlineLevel="0" collapsed="false">
      <c r="A502" s="3" t="s">
        <v>1259</v>
      </c>
      <c r="B502" s="3" t="s">
        <v>1260</v>
      </c>
      <c r="C502" s="3" t="n">
        <v>221080</v>
      </c>
      <c r="D502" s="3" t="s">
        <v>1399</v>
      </c>
      <c r="E502" s="18" t="n">
        <v>45317</v>
      </c>
      <c r="F502" s="3" t="s">
        <v>1262</v>
      </c>
      <c r="G502" s="3" t="s">
        <v>1275</v>
      </c>
      <c r="H502" s="19"/>
      <c r="I502" s="19"/>
      <c r="J502" s="20"/>
      <c r="K502" s="20"/>
      <c r="L502" s="19"/>
      <c r="M502" s="19"/>
      <c r="N502" s="19"/>
      <c r="O502" s="20"/>
      <c r="P502" s="20"/>
    </row>
    <row r="503" customFormat="false" ht="14.25" hidden="false" customHeight="true" outlineLevel="0" collapsed="false">
      <c r="A503" s="3" t="s">
        <v>1259</v>
      </c>
      <c r="B503" s="3" t="s">
        <v>1260</v>
      </c>
      <c r="C503" s="3" t="n">
        <v>221080</v>
      </c>
      <c r="D503" s="3" t="s">
        <v>1297</v>
      </c>
      <c r="E503" s="18" t="n">
        <v>45327</v>
      </c>
      <c r="F503" s="3" t="s">
        <v>1262</v>
      </c>
      <c r="G503" s="3" t="s">
        <v>5</v>
      </c>
      <c r="H503" s="19"/>
      <c r="I503" s="19"/>
      <c r="J503" s="20"/>
      <c r="K503" s="20"/>
      <c r="L503" s="19"/>
      <c r="M503" s="19"/>
      <c r="N503" s="19"/>
      <c r="O503" s="20"/>
      <c r="P503" s="20"/>
    </row>
    <row r="504" customFormat="false" ht="14.25" hidden="false" customHeight="true" outlineLevel="0" collapsed="false">
      <c r="A504" s="3" t="s">
        <v>1259</v>
      </c>
      <c r="B504" s="3" t="s">
        <v>1260</v>
      </c>
      <c r="C504" s="3" t="n">
        <v>221080</v>
      </c>
      <c r="D504" s="3" t="s">
        <v>1298</v>
      </c>
      <c r="E504" s="18" t="n">
        <v>45341</v>
      </c>
      <c r="F504" s="3" t="s">
        <v>1262</v>
      </c>
      <c r="G504" s="3" t="s">
        <v>5</v>
      </c>
      <c r="H504" s="19"/>
      <c r="I504" s="19"/>
      <c r="J504" s="20"/>
      <c r="K504" s="20"/>
      <c r="L504" s="19"/>
      <c r="M504" s="19"/>
      <c r="N504" s="19"/>
      <c r="O504" s="20"/>
      <c r="P504" s="20"/>
    </row>
    <row r="505" customFormat="false" ht="14.25" hidden="false" customHeight="true" outlineLevel="0" collapsed="false">
      <c r="A505" s="3" t="s">
        <v>1259</v>
      </c>
      <c r="B505" s="3" t="s">
        <v>1260</v>
      </c>
      <c r="C505" s="3" t="n">
        <v>221080</v>
      </c>
      <c r="D505" s="3" t="s">
        <v>1299</v>
      </c>
      <c r="E505" s="18" t="n">
        <v>45355</v>
      </c>
      <c r="F505" s="3" t="s">
        <v>1262</v>
      </c>
      <c r="G505" s="3" t="s">
        <v>5</v>
      </c>
      <c r="H505" s="19"/>
      <c r="I505" s="19"/>
      <c r="J505" s="20"/>
      <c r="K505" s="20"/>
      <c r="L505" s="19"/>
      <c r="M505" s="19"/>
      <c r="N505" s="19"/>
      <c r="O505" s="20"/>
      <c r="P505" s="20"/>
    </row>
    <row r="506" customFormat="false" ht="14.25" hidden="false" customHeight="true" outlineLevel="0" collapsed="false">
      <c r="A506" s="3" t="s">
        <v>1259</v>
      </c>
      <c r="B506" s="3" t="s">
        <v>1260</v>
      </c>
      <c r="C506" s="3" t="n">
        <v>221080</v>
      </c>
      <c r="D506" s="3" t="s">
        <v>1300</v>
      </c>
      <c r="E506" s="18" t="n">
        <v>45369</v>
      </c>
      <c r="F506" s="3" t="s">
        <v>1262</v>
      </c>
      <c r="G506" s="3" t="s">
        <v>5</v>
      </c>
      <c r="H506" s="19"/>
      <c r="I506" s="19"/>
      <c r="J506" s="20"/>
      <c r="K506" s="20"/>
      <c r="L506" s="19"/>
      <c r="M506" s="19"/>
      <c r="N506" s="19"/>
      <c r="O506" s="20"/>
      <c r="P506" s="20"/>
    </row>
    <row r="507" customFormat="false" ht="14.25" hidden="false" customHeight="true" outlineLevel="0" collapsed="false">
      <c r="A507" s="3" t="s">
        <v>1259</v>
      </c>
      <c r="B507" s="3" t="s">
        <v>1260</v>
      </c>
      <c r="C507" s="3" t="n">
        <v>221080</v>
      </c>
      <c r="D507" s="3" t="s">
        <v>1400</v>
      </c>
      <c r="E507" s="18" t="n">
        <v>45373</v>
      </c>
      <c r="F507" s="3" t="s">
        <v>1262</v>
      </c>
      <c r="G507" s="3" t="s">
        <v>1275</v>
      </c>
      <c r="H507" s="19"/>
      <c r="I507" s="19"/>
      <c r="J507" s="20"/>
      <c r="K507" s="20"/>
      <c r="L507" s="19"/>
      <c r="M507" s="19"/>
      <c r="N507" s="19"/>
      <c r="O507" s="20"/>
      <c r="P507" s="20"/>
    </row>
    <row r="508" customFormat="false" ht="14.25" hidden="false" customHeight="true" outlineLevel="0" collapsed="false">
      <c r="A508" s="3" t="s">
        <v>1259</v>
      </c>
      <c r="B508" s="3" t="s">
        <v>1260</v>
      </c>
      <c r="C508" s="3" t="n">
        <v>221080</v>
      </c>
      <c r="D508" s="3" t="s">
        <v>1302</v>
      </c>
      <c r="E508" s="18" t="n">
        <v>45383</v>
      </c>
      <c r="F508" s="3" t="s">
        <v>1262</v>
      </c>
      <c r="G508" s="3" t="s">
        <v>5</v>
      </c>
      <c r="H508" s="19"/>
      <c r="I508" s="19"/>
      <c r="J508" s="20"/>
      <c r="K508" s="20"/>
      <c r="L508" s="19"/>
      <c r="M508" s="19"/>
      <c r="N508" s="19"/>
      <c r="O508" s="20"/>
      <c r="P508" s="20"/>
    </row>
    <row r="509" customFormat="false" ht="14.25" hidden="false" customHeight="true" outlineLevel="0" collapsed="false">
      <c r="A509" s="3" t="s">
        <v>1259</v>
      </c>
      <c r="B509" s="3" t="s">
        <v>1260</v>
      </c>
      <c r="C509" s="3" t="n">
        <v>221080</v>
      </c>
      <c r="D509" s="3" t="s">
        <v>1303</v>
      </c>
      <c r="E509" s="18" t="n">
        <v>45397</v>
      </c>
      <c r="F509" s="3" t="s">
        <v>1262</v>
      </c>
      <c r="G509" s="3" t="s">
        <v>5</v>
      </c>
      <c r="H509" s="19"/>
      <c r="I509" s="19"/>
      <c r="J509" s="20"/>
      <c r="K509" s="20"/>
      <c r="L509" s="19"/>
      <c r="M509" s="19"/>
      <c r="N509" s="19"/>
      <c r="O509" s="20"/>
      <c r="P509" s="20"/>
    </row>
    <row r="510" customFormat="false" ht="14.25" hidden="false" customHeight="true" outlineLevel="0" collapsed="false">
      <c r="A510" s="3" t="s">
        <v>1259</v>
      </c>
      <c r="B510" s="3" t="s">
        <v>1260</v>
      </c>
      <c r="C510" s="3" t="n">
        <v>221080</v>
      </c>
      <c r="D510" s="3" t="s">
        <v>1304</v>
      </c>
      <c r="E510" s="18" t="n">
        <v>45411</v>
      </c>
      <c r="F510" s="3" t="s">
        <v>1262</v>
      </c>
      <c r="G510" s="3" t="s">
        <v>5</v>
      </c>
      <c r="H510" s="19"/>
      <c r="I510" s="19"/>
      <c r="J510" s="20"/>
      <c r="K510" s="20"/>
      <c r="L510" s="19"/>
      <c r="M510" s="19"/>
      <c r="N510" s="19"/>
      <c r="O510" s="20"/>
      <c r="P510" s="20"/>
    </row>
    <row r="511" customFormat="false" ht="14.25" hidden="false" customHeight="true" outlineLevel="0" collapsed="false">
      <c r="A511" s="3" t="s">
        <v>1259</v>
      </c>
      <c r="B511" s="3" t="s">
        <v>1260</v>
      </c>
      <c r="C511" s="3" t="n">
        <v>222008</v>
      </c>
      <c r="D511" s="3" t="s">
        <v>1261</v>
      </c>
      <c r="E511" s="18" t="n">
        <v>45146</v>
      </c>
      <c r="F511" s="3" t="s">
        <v>1262</v>
      </c>
      <c r="G511" s="3" t="s">
        <v>5</v>
      </c>
      <c r="H511" s="19" t="n">
        <v>45146</v>
      </c>
      <c r="I511" s="19" t="n">
        <v>45054</v>
      </c>
      <c r="J511" s="20" t="n">
        <v>31</v>
      </c>
      <c r="K511" s="20" t="s">
        <v>1313</v>
      </c>
      <c r="L511" s="19" t="s">
        <v>12</v>
      </c>
      <c r="M511" s="19"/>
      <c r="N511" s="19"/>
      <c r="O511" s="20"/>
      <c r="P511" s="20"/>
    </row>
    <row r="512" customFormat="false" ht="14.25" hidden="false" customHeight="true" outlineLevel="0" collapsed="false">
      <c r="A512" s="3" t="s">
        <v>1259</v>
      </c>
      <c r="B512" s="3" t="s">
        <v>1260</v>
      </c>
      <c r="C512" s="3" t="n">
        <v>222008</v>
      </c>
      <c r="D512" s="3" t="s">
        <v>1264</v>
      </c>
      <c r="E512" s="18" t="n">
        <v>45156</v>
      </c>
      <c r="F512" s="3" t="s">
        <v>1262</v>
      </c>
      <c r="G512" s="3" t="s">
        <v>5</v>
      </c>
      <c r="H512" s="19"/>
      <c r="I512" s="19"/>
      <c r="J512" s="20"/>
      <c r="K512" s="20"/>
      <c r="L512" s="19"/>
      <c r="M512" s="19"/>
      <c r="N512" s="19"/>
      <c r="O512" s="20"/>
      <c r="P512" s="20"/>
    </row>
    <row r="513" customFormat="false" ht="14.25" hidden="false" customHeight="true" outlineLevel="0" collapsed="false">
      <c r="A513" s="3" t="s">
        <v>1259</v>
      </c>
      <c r="B513" s="3" t="s">
        <v>1260</v>
      </c>
      <c r="C513" s="3" t="n">
        <v>222008</v>
      </c>
      <c r="D513" s="3" t="s">
        <v>1266</v>
      </c>
      <c r="E513" s="18" t="n">
        <v>45162</v>
      </c>
      <c r="F513" s="3" t="s">
        <v>1262</v>
      </c>
      <c r="G513" s="3" t="s">
        <v>5</v>
      </c>
      <c r="H513" s="19"/>
      <c r="I513" s="19"/>
      <c r="J513" s="20"/>
      <c r="K513" s="20"/>
      <c r="L513" s="19"/>
      <c r="M513" s="19"/>
      <c r="N513" s="19"/>
      <c r="O513" s="20"/>
      <c r="P513" s="20"/>
    </row>
    <row r="514" customFormat="false" ht="14.25" hidden="false" customHeight="true" outlineLevel="0" collapsed="false">
      <c r="A514" s="3" t="s">
        <v>1259</v>
      </c>
      <c r="B514" s="3" t="s">
        <v>1260</v>
      </c>
      <c r="C514" s="3" t="n">
        <v>222008</v>
      </c>
      <c r="D514" s="3" t="s">
        <v>1269</v>
      </c>
      <c r="E514" s="18" t="n">
        <v>45169</v>
      </c>
      <c r="F514" s="3" t="s">
        <v>1262</v>
      </c>
      <c r="G514" s="3" t="s">
        <v>5</v>
      </c>
      <c r="H514" s="19"/>
      <c r="I514" s="19"/>
      <c r="J514" s="20"/>
      <c r="K514" s="20"/>
      <c r="L514" s="19"/>
      <c r="M514" s="19"/>
      <c r="N514" s="19"/>
      <c r="O514" s="20"/>
      <c r="P514" s="20"/>
    </row>
    <row r="515" customFormat="false" ht="14.25" hidden="false" customHeight="true" outlineLevel="0" collapsed="false">
      <c r="A515" s="3" t="s">
        <v>1259</v>
      </c>
      <c r="B515" s="3" t="s">
        <v>1260</v>
      </c>
      <c r="C515" s="3" t="n">
        <v>222008</v>
      </c>
      <c r="D515" s="3" t="s">
        <v>1271</v>
      </c>
      <c r="E515" s="18" t="n">
        <v>45176</v>
      </c>
      <c r="F515" s="3" t="s">
        <v>1262</v>
      </c>
      <c r="G515" s="3" t="s">
        <v>5</v>
      </c>
      <c r="H515" s="19"/>
      <c r="I515" s="19"/>
      <c r="J515" s="20"/>
      <c r="K515" s="20"/>
      <c r="L515" s="19"/>
      <c r="M515" s="19"/>
      <c r="N515" s="19"/>
      <c r="O515" s="20"/>
      <c r="P515" s="20"/>
    </row>
    <row r="516" customFormat="false" ht="14.25" hidden="false" customHeight="true" outlineLevel="0" collapsed="false">
      <c r="A516" s="3" t="s">
        <v>1259</v>
      </c>
      <c r="B516" s="3" t="s">
        <v>1260</v>
      </c>
      <c r="C516" s="3" t="n">
        <v>222008</v>
      </c>
      <c r="D516" s="3" t="s">
        <v>1272</v>
      </c>
      <c r="E516" s="18" t="n">
        <v>45178</v>
      </c>
      <c r="F516" s="3" t="s">
        <v>1262</v>
      </c>
      <c r="G516" s="3" t="s">
        <v>5</v>
      </c>
      <c r="H516" s="19"/>
      <c r="I516" s="19"/>
      <c r="J516" s="20"/>
      <c r="K516" s="20"/>
      <c r="L516" s="19"/>
      <c r="M516" s="19"/>
      <c r="N516" s="19"/>
      <c r="O516" s="20"/>
      <c r="P516" s="20"/>
    </row>
    <row r="517" customFormat="false" ht="14.25" hidden="false" customHeight="true" outlineLevel="0" collapsed="false">
      <c r="A517" s="3" t="s">
        <v>1259</v>
      </c>
      <c r="B517" s="3" t="s">
        <v>1260</v>
      </c>
      <c r="C517" s="3" t="n">
        <v>222008</v>
      </c>
      <c r="D517" s="3" t="s">
        <v>1276</v>
      </c>
      <c r="E517" s="18" t="n">
        <v>45195</v>
      </c>
      <c r="F517" s="3" t="s">
        <v>1262</v>
      </c>
      <c r="G517" s="3" t="s">
        <v>5</v>
      </c>
      <c r="H517" s="19"/>
      <c r="I517" s="19"/>
      <c r="J517" s="20"/>
      <c r="K517" s="20"/>
      <c r="L517" s="19"/>
      <c r="M517" s="19"/>
      <c r="N517" s="19"/>
      <c r="O517" s="20"/>
      <c r="P517" s="20"/>
    </row>
    <row r="518" customFormat="false" ht="14.25" hidden="false" customHeight="true" outlineLevel="0" collapsed="false">
      <c r="A518" s="3" t="s">
        <v>1259</v>
      </c>
      <c r="B518" s="3" t="s">
        <v>1260</v>
      </c>
      <c r="C518" s="3" t="n">
        <v>222008</v>
      </c>
      <c r="D518" s="3" t="s">
        <v>1319</v>
      </c>
      <c r="E518" s="18" t="n">
        <v>45204</v>
      </c>
      <c r="F518" s="3" t="s">
        <v>1262</v>
      </c>
      <c r="G518" s="3" t="s">
        <v>1275</v>
      </c>
      <c r="H518" s="19"/>
      <c r="I518" s="19"/>
      <c r="J518" s="20"/>
      <c r="K518" s="20"/>
      <c r="L518" s="19"/>
      <c r="M518" s="19"/>
      <c r="N518" s="19"/>
      <c r="O518" s="20"/>
      <c r="P518" s="20"/>
    </row>
    <row r="519" customFormat="false" ht="14.25" hidden="false" customHeight="true" outlineLevel="0" collapsed="false">
      <c r="A519" s="3" t="s">
        <v>1259</v>
      </c>
      <c r="B519" s="3" t="s">
        <v>1260</v>
      </c>
      <c r="C519" s="3" t="n">
        <v>222008</v>
      </c>
      <c r="D519" s="3" t="s">
        <v>1278</v>
      </c>
      <c r="E519" s="18" t="n">
        <v>45218</v>
      </c>
      <c r="F519" s="3" t="s">
        <v>1262</v>
      </c>
      <c r="G519" s="3" t="s">
        <v>5</v>
      </c>
      <c r="H519" s="19"/>
      <c r="I519" s="19"/>
      <c r="J519" s="20"/>
      <c r="K519" s="20"/>
      <c r="L519" s="19"/>
      <c r="M519" s="19"/>
      <c r="N519" s="19"/>
      <c r="O519" s="20"/>
      <c r="P519" s="20"/>
    </row>
    <row r="520" customFormat="false" ht="14.25" hidden="false" customHeight="true" outlineLevel="0" collapsed="false">
      <c r="A520" s="3" t="s">
        <v>1259</v>
      </c>
      <c r="B520" s="3" t="s">
        <v>1260</v>
      </c>
      <c r="C520" s="3" t="n">
        <v>222008</v>
      </c>
      <c r="D520" s="3" t="s">
        <v>1401</v>
      </c>
      <c r="E520" s="18" t="n">
        <v>45236</v>
      </c>
      <c r="F520" s="3" t="s">
        <v>1262</v>
      </c>
      <c r="G520" s="3" t="s">
        <v>1275</v>
      </c>
      <c r="H520" s="19"/>
      <c r="I520" s="19"/>
      <c r="J520" s="20"/>
      <c r="K520" s="20"/>
      <c r="L520" s="19"/>
      <c r="M520" s="19"/>
      <c r="N520" s="19"/>
      <c r="O520" s="20"/>
      <c r="P520" s="20"/>
    </row>
    <row r="521" customFormat="false" ht="14.25" hidden="false" customHeight="true" outlineLevel="0" collapsed="false">
      <c r="A521" s="3" t="s">
        <v>1259</v>
      </c>
      <c r="B521" s="3" t="s">
        <v>1260</v>
      </c>
      <c r="C521" s="3" t="n">
        <v>222008</v>
      </c>
      <c r="D521" s="3" t="s">
        <v>1281</v>
      </c>
      <c r="E521" s="18" t="n">
        <v>45239</v>
      </c>
      <c r="F521" s="3" t="s">
        <v>1262</v>
      </c>
      <c r="G521" s="3" t="s">
        <v>5</v>
      </c>
      <c r="H521" s="19"/>
      <c r="I521" s="19"/>
      <c r="J521" s="20"/>
      <c r="K521" s="20"/>
      <c r="L521" s="19"/>
      <c r="M521" s="19"/>
      <c r="N521" s="19"/>
      <c r="O521" s="20"/>
      <c r="P521" s="20"/>
    </row>
    <row r="522" customFormat="false" ht="14.25" hidden="false" customHeight="true" outlineLevel="0" collapsed="false">
      <c r="A522" s="3" t="s">
        <v>1259</v>
      </c>
      <c r="B522" s="3" t="s">
        <v>1260</v>
      </c>
      <c r="C522" s="3" t="n">
        <v>222008</v>
      </c>
      <c r="D522" s="3" t="s">
        <v>1283</v>
      </c>
      <c r="E522" s="18" t="n">
        <v>45258</v>
      </c>
      <c r="F522" s="3" t="s">
        <v>1262</v>
      </c>
      <c r="G522" s="3" t="s">
        <v>5</v>
      </c>
      <c r="H522" s="19"/>
      <c r="I522" s="19"/>
      <c r="J522" s="20"/>
      <c r="K522" s="20"/>
      <c r="L522" s="19"/>
      <c r="M522" s="19"/>
      <c r="N522" s="19"/>
      <c r="O522" s="20"/>
      <c r="P522" s="20"/>
    </row>
    <row r="523" customFormat="false" ht="14.25" hidden="false" customHeight="true" outlineLevel="0" collapsed="false">
      <c r="A523" s="3" t="s">
        <v>1259</v>
      </c>
      <c r="B523" s="3" t="s">
        <v>1260</v>
      </c>
      <c r="C523" s="3" t="n">
        <v>222008</v>
      </c>
      <c r="D523" s="3" t="s">
        <v>1402</v>
      </c>
      <c r="E523" s="18" t="n">
        <v>45279</v>
      </c>
      <c r="F523" s="3" t="s">
        <v>1262</v>
      </c>
      <c r="G523" s="3" t="s">
        <v>1275</v>
      </c>
      <c r="H523" s="19"/>
      <c r="I523" s="19"/>
      <c r="J523" s="20"/>
      <c r="K523" s="20"/>
      <c r="L523" s="19"/>
      <c r="M523" s="19"/>
      <c r="N523" s="19"/>
      <c r="O523" s="20"/>
      <c r="P523" s="20"/>
    </row>
    <row r="524" customFormat="false" ht="14.25" hidden="false" customHeight="true" outlineLevel="0" collapsed="false">
      <c r="A524" s="3" t="s">
        <v>1259</v>
      </c>
      <c r="B524" s="3" t="s">
        <v>1260</v>
      </c>
      <c r="C524" s="3" t="n">
        <v>222008</v>
      </c>
      <c r="D524" s="3" t="s">
        <v>1286</v>
      </c>
      <c r="E524" s="18" t="n">
        <v>45281</v>
      </c>
      <c r="F524" s="3" t="s">
        <v>1262</v>
      </c>
      <c r="G524" s="3" t="s">
        <v>5</v>
      </c>
      <c r="H524" s="19"/>
      <c r="I524" s="19"/>
      <c r="J524" s="20"/>
      <c r="K524" s="20"/>
      <c r="L524" s="19"/>
      <c r="M524" s="19"/>
      <c r="N524" s="19"/>
      <c r="O524" s="20"/>
      <c r="P524" s="20"/>
    </row>
    <row r="525" customFormat="false" ht="14.25" hidden="false" customHeight="true" outlineLevel="0" collapsed="false">
      <c r="A525" s="3" t="s">
        <v>1259</v>
      </c>
      <c r="B525" s="3" t="s">
        <v>1260</v>
      </c>
      <c r="C525" s="3" t="n">
        <v>222008</v>
      </c>
      <c r="D525" s="3" t="s">
        <v>1288</v>
      </c>
      <c r="E525" s="18" t="n">
        <v>45300</v>
      </c>
      <c r="F525" s="3" t="s">
        <v>1262</v>
      </c>
      <c r="G525" s="3" t="s">
        <v>5</v>
      </c>
      <c r="H525" s="19"/>
      <c r="I525" s="19"/>
      <c r="J525" s="20"/>
      <c r="K525" s="20"/>
      <c r="L525" s="19"/>
      <c r="M525" s="19"/>
      <c r="N525" s="19"/>
      <c r="O525" s="20"/>
      <c r="P525" s="20"/>
    </row>
    <row r="526" customFormat="false" ht="14.25" hidden="false" customHeight="true" outlineLevel="0" collapsed="false">
      <c r="A526" s="3" t="s">
        <v>1259</v>
      </c>
      <c r="B526" s="3" t="s">
        <v>1260</v>
      </c>
      <c r="C526" s="3" t="n">
        <v>222008</v>
      </c>
      <c r="D526" s="3" t="s">
        <v>1399</v>
      </c>
      <c r="E526" s="18" t="n">
        <v>45317</v>
      </c>
      <c r="F526" s="3" t="s">
        <v>1262</v>
      </c>
      <c r="G526" s="3" t="s">
        <v>1275</v>
      </c>
      <c r="H526" s="19"/>
      <c r="I526" s="19"/>
      <c r="J526" s="20"/>
      <c r="K526" s="20"/>
      <c r="L526" s="19"/>
      <c r="M526" s="19"/>
      <c r="N526" s="19"/>
      <c r="O526" s="20"/>
      <c r="P526" s="20"/>
    </row>
    <row r="527" customFormat="false" ht="14.25" hidden="false" customHeight="true" outlineLevel="0" collapsed="false">
      <c r="A527" s="3" t="s">
        <v>1259</v>
      </c>
      <c r="B527" s="3" t="s">
        <v>1260</v>
      </c>
      <c r="C527" s="3" t="n">
        <v>222008</v>
      </c>
      <c r="D527" s="3" t="s">
        <v>1290</v>
      </c>
      <c r="E527" s="18" t="n">
        <v>45323</v>
      </c>
      <c r="F527" s="3" t="s">
        <v>1262</v>
      </c>
      <c r="G527" s="3" t="s">
        <v>5</v>
      </c>
      <c r="H527" s="19"/>
      <c r="I527" s="19"/>
      <c r="J527" s="20"/>
      <c r="K527" s="20"/>
      <c r="L527" s="19"/>
      <c r="M527" s="19"/>
      <c r="N527" s="19"/>
      <c r="O527" s="20"/>
      <c r="P527" s="20"/>
    </row>
    <row r="528" customFormat="false" ht="14.25" hidden="false" customHeight="true" outlineLevel="0" collapsed="false">
      <c r="A528" s="3" t="s">
        <v>1259</v>
      </c>
      <c r="B528" s="3" t="s">
        <v>1260</v>
      </c>
      <c r="C528" s="3" t="n">
        <v>222008</v>
      </c>
      <c r="D528" s="3" t="s">
        <v>1293</v>
      </c>
      <c r="E528" s="18" t="n">
        <v>45342</v>
      </c>
      <c r="F528" s="3" t="s">
        <v>1262</v>
      </c>
      <c r="G528" s="3" t="s">
        <v>5</v>
      </c>
      <c r="H528" s="19"/>
      <c r="I528" s="19"/>
      <c r="J528" s="20"/>
      <c r="K528" s="20"/>
      <c r="L528" s="19"/>
      <c r="M528" s="19"/>
      <c r="N528" s="19"/>
      <c r="O528" s="20"/>
      <c r="P528" s="20"/>
    </row>
    <row r="529" customFormat="false" ht="14.25" hidden="false" customHeight="true" outlineLevel="0" collapsed="false">
      <c r="A529" s="3" t="s">
        <v>1259</v>
      </c>
      <c r="B529" s="3" t="s">
        <v>1260</v>
      </c>
      <c r="C529" s="3" t="n">
        <v>222008</v>
      </c>
      <c r="D529" s="3" t="s">
        <v>1403</v>
      </c>
      <c r="E529" s="18" t="n">
        <v>45359</v>
      </c>
      <c r="F529" s="3" t="s">
        <v>1262</v>
      </c>
      <c r="G529" s="3" t="s">
        <v>1275</v>
      </c>
      <c r="H529" s="19"/>
      <c r="I529" s="19"/>
      <c r="J529" s="20"/>
      <c r="K529" s="20"/>
      <c r="L529" s="19"/>
      <c r="M529" s="19"/>
      <c r="N529" s="19"/>
      <c r="O529" s="20"/>
      <c r="P529" s="20"/>
    </row>
    <row r="530" customFormat="false" ht="14.25" hidden="false" customHeight="true" outlineLevel="0" collapsed="false">
      <c r="A530" s="3" t="s">
        <v>1259</v>
      </c>
      <c r="B530" s="3" t="s">
        <v>1260</v>
      </c>
      <c r="C530" s="3" t="n">
        <v>222008</v>
      </c>
      <c r="D530" s="3" t="s">
        <v>1295</v>
      </c>
      <c r="E530" s="18" t="n">
        <v>45365</v>
      </c>
      <c r="F530" s="3" t="s">
        <v>1262</v>
      </c>
      <c r="G530" s="3" t="s">
        <v>5</v>
      </c>
      <c r="H530" s="19"/>
      <c r="I530" s="19"/>
      <c r="J530" s="20"/>
      <c r="K530" s="20"/>
      <c r="L530" s="19"/>
      <c r="M530" s="19"/>
      <c r="N530" s="19"/>
      <c r="O530" s="20"/>
      <c r="P530" s="20"/>
    </row>
    <row r="531" customFormat="false" ht="14.25" hidden="false" customHeight="true" outlineLevel="0" collapsed="false">
      <c r="A531" s="3" t="s">
        <v>1259</v>
      </c>
      <c r="B531" s="3" t="s">
        <v>1260</v>
      </c>
      <c r="C531" s="3" t="n">
        <v>222008</v>
      </c>
      <c r="D531" s="3" t="s">
        <v>1298</v>
      </c>
      <c r="E531" s="18" t="n">
        <v>45384</v>
      </c>
      <c r="F531" s="3" t="s">
        <v>1262</v>
      </c>
      <c r="G531" s="3" t="s">
        <v>5</v>
      </c>
      <c r="H531" s="19"/>
      <c r="I531" s="19"/>
      <c r="J531" s="20"/>
      <c r="K531" s="20"/>
      <c r="L531" s="19"/>
      <c r="M531" s="19"/>
      <c r="N531" s="19"/>
      <c r="O531" s="20"/>
      <c r="P531" s="20"/>
    </row>
    <row r="532" customFormat="false" ht="14.25" hidden="false" customHeight="true" outlineLevel="0" collapsed="false">
      <c r="A532" s="3" t="s">
        <v>1259</v>
      </c>
      <c r="B532" s="3" t="s">
        <v>1260</v>
      </c>
      <c r="C532" s="3" t="n">
        <v>222008</v>
      </c>
      <c r="D532" s="3" t="s">
        <v>1404</v>
      </c>
      <c r="E532" s="18" t="n">
        <v>45401</v>
      </c>
      <c r="F532" s="3" t="s">
        <v>1262</v>
      </c>
      <c r="G532" s="3" t="s">
        <v>1275</v>
      </c>
      <c r="H532" s="19"/>
      <c r="I532" s="19"/>
      <c r="J532" s="20"/>
      <c r="K532" s="20"/>
      <c r="L532" s="19"/>
      <c r="M532" s="19"/>
      <c r="N532" s="19"/>
      <c r="O532" s="20"/>
      <c r="P532" s="20"/>
    </row>
    <row r="533" customFormat="false" ht="14.25" hidden="false" customHeight="true" outlineLevel="0" collapsed="false">
      <c r="A533" s="3" t="s">
        <v>1259</v>
      </c>
      <c r="B533" s="3" t="s">
        <v>1260</v>
      </c>
      <c r="C533" s="3" t="n">
        <v>222008</v>
      </c>
      <c r="D533" s="3" t="s">
        <v>1300</v>
      </c>
      <c r="E533" s="18" t="n">
        <v>45407</v>
      </c>
      <c r="F533" s="3" t="s">
        <v>1262</v>
      </c>
      <c r="G533" s="3" t="s">
        <v>5</v>
      </c>
      <c r="H533" s="19"/>
      <c r="I533" s="19"/>
      <c r="J533" s="20"/>
      <c r="K533" s="20"/>
      <c r="L533" s="19"/>
      <c r="M533" s="19"/>
      <c r="N533" s="19"/>
      <c r="O533" s="20"/>
      <c r="P533" s="20"/>
    </row>
    <row r="534" customFormat="false" ht="14.25" hidden="false" customHeight="true" outlineLevel="0" collapsed="false">
      <c r="A534" s="3" t="s">
        <v>1259</v>
      </c>
      <c r="B534" s="3" t="s">
        <v>1260</v>
      </c>
      <c r="C534" s="3" t="n">
        <v>222008</v>
      </c>
      <c r="D534" s="3" t="s">
        <v>1303</v>
      </c>
      <c r="E534" s="18" t="n">
        <v>45426</v>
      </c>
      <c r="F534" s="3" t="s">
        <v>1262</v>
      </c>
      <c r="G534" s="3" t="s">
        <v>5</v>
      </c>
      <c r="H534" s="19"/>
      <c r="I534" s="19"/>
      <c r="J534" s="20"/>
      <c r="K534" s="20"/>
      <c r="L534" s="19"/>
      <c r="M534" s="19"/>
      <c r="N534" s="19"/>
      <c r="O534" s="20"/>
      <c r="P534" s="20"/>
    </row>
    <row r="535" customFormat="false" ht="14.25" hidden="false" customHeight="true" outlineLevel="0" collapsed="false">
      <c r="A535" s="3" t="s">
        <v>1259</v>
      </c>
      <c r="B535" s="3" t="s">
        <v>1260</v>
      </c>
      <c r="C535" s="3" t="n">
        <v>222008</v>
      </c>
      <c r="D535" s="3" t="s">
        <v>1265</v>
      </c>
      <c r="F535" s="3" t="s">
        <v>1262</v>
      </c>
      <c r="G535" s="3" t="s">
        <v>5</v>
      </c>
      <c r="H535" s="19"/>
      <c r="I535" s="19"/>
      <c r="J535" s="20"/>
      <c r="K535" s="20"/>
      <c r="L535" s="19"/>
      <c r="M535" s="19"/>
      <c r="N535" s="19"/>
      <c r="O535" s="20"/>
      <c r="P535" s="20"/>
    </row>
    <row r="536" customFormat="false" ht="14.25" hidden="false" customHeight="true" outlineLevel="0" collapsed="false">
      <c r="A536" s="3" t="s">
        <v>1259</v>
      </c>
      <c r="B536" s="3" t="s">
        <v>1260</v>
      </c>
      <c r="C536" s="3" t="n">
        <v>222023</v>
      </c>
      <c r="D536" s="3" t="s">
        <v>1261</v>
      </c>
      <c r="E536" s="18" t="n">
        <v>45203</v>
      </c>
      <c r="F536" s="3" t="s">
        <v>1262</v>
      </c>
      <c r="G536" s="3" t="s">
        <v>5</v>
      </c>
      <c r="H536" s="19" t="n">
        <v>45203</v>
      </c>
      <c r="I536" s="19" t="n">
        <v>45054</v>
      </c>
      <c r="J536" s="20" t="n">
        <v>58</v>
      </c>
      <c r="K536" s="20" t="s">
        <v>1313</v>
      </c>
      <c r="L536" s="19" t="s">
        <v>12</v>
      </c>
      <c r="M536" s="19"/>
      <c r="N536" s="19"/>
      <c r="O536" s="20"/>
      <c r="P536" s="20"/>
    </row>
    <row r="537" customFormat="false" ht="14.25" hidden="false" customHeight="true" outlineLevel="0" collapsed="false">
      <c r="A537" s="3" t="s">
        <v>1259</v>
      </c>
      <c r="B537" s="3" t="s">
        <v>1260</v>
      </c>
      <c r="C537" s="3" t="n">
        <v>222023</v>
      </c>
      <c r="D537" s="3" t="s">
        <v>1264</v>
      </c>
      <c r="E537" s="18" t="n">
        <v>45216</v>
      </c>
      <c r="F537" s="3" t="s">
        <v>1262</v>
      </c>
      <c r="G537" s="3" t="s">
        <v>5</v>
      </c>
      <c r="H537" s="19"/>
      <c r="I537" s="19"/>
      <c r="J537" s="20"/>
      <c r="K537" s="20"/>
      <c r="L537" s="19"/>
      <c r="M537" s="19"/>
      <c r="N537" s="19"/>
      <c r="O537" s="20"/>
      <c r="P537" s="20"/>
    </row>
    <row r="538" customFormat="false" ht="14.25" hidden="false" customHeight="true" outlineLevel="0" collapsed="false">
      <c r="A538" s="3" t="s">
        <v>1259</v>
      </c>
      <c r="B538" s="3" t="s">
        <v>1260</v>
      </c>
      <c r="C538" s="3" t="n">
        <v>222023</v>
      </c>
      <c r="D538" s="3" t="s">
        <v>1265</v>
      </c>
      <c r="E538" s="18" t="n">
        <v>45218</v>
      </c>
      <c r="F538" s="3" t="s">
        <v>1262</v>
      </c>
      <c r="G538" s="3" t="s">
        <v>5</v>
      </c>
      <c r="H538" s="19"/>
      <c r="I538" s="19"/>
      <c r="J538" s="20"/>
      <c r="K538" s="20"/>
      <c r="L538" s="19"/>
      <c r="M538" s="19"/>
      <c r="N538" s="19"/>
      <c r="O538" s="20"/>
      <c r="P538" s="20"/>
    </row>
    <row r="539" customFormat="false" ht="14.25" hidden="false" customHeight="true" outlineLevel="0" collapsed="false">
      <c r="A539" s="3" t="s">
        <v>1259</v>
      </c>
      <c r="B539" s="3" t="s">
        <v>1260</v>
      </c>
      <c r="C539" s="3" t="n">
        <v>222023</v>
      </c>
      <c r="D539" s="3" t="s">
        <v>1266</v>
      </c>
      <c r="E539" s="18" t="n">
        <v>45223</v>
      </c>
      <c r="F539" s="3" t="s">
        <v>1262</v>
      </c>
      <c r="G539" s="3" t="s">
        <v>5</v>
      </c>
      <c r="H539" s="19"/>
      <c r="I539" s="19"/>
      <c r="J539" s="20"/>
      <c r="K539" s="20"/>
      <c r="L539" s="19"/>
      <c r="M539" s="19"/>
      <c r="N539" s="19"/>
      <c r="O539" s="20"/>
      <c r="P539" s="20"/>
    </row>
    <row r="540" customFormat="false" ht="14.25" hidden="false" customHeight="true" outlineLevel="0" collapsed="false">
      <c r="A540" s="3" t="s">
        <v>1259</v>
      </c>
      <c r="B540" s="3" t="s">
        <v>1260</v>
      </c>
      <c r="C540" s="3" t="n">
        <v>222023</v>
      </c>
      <c r="D540" s="3" t="s">
        <v>1269</v>
      </c>
      <c r="E540" s="18" t="n">
        <v>45230</v>
      </c>
      <c r="F540" s="3" t="s">
        <v>1262</v>
      </c>
      <c r="G540" s="3" t="s">
        <v>5</v>
      </c>
      <c r="H540" s="19"/>
      <c r="I540" s="19"/>
      <c r="J540" s="20"/>
      <c r="K540" s="20"/>
      <c r="L540" s="19"/>
      <c r="M540" s="19"/>
      <c r="N540" s="19"/>
      <c r="O540" s="20"/>
      <c r="P540" s="20"/>
    </row>
    <row r="541" customFormat="false" ht="14.25" hidden="false" customHeight="true" outlineLevel="0" collapsed="false">
      <c r="A541" s="3" t="s">
        <v>1259</v>
      </c>
      <c r="B541" s="3" t="s">
        <v>1260</v>
      </c>
      <c r="C541" s="3" t="n">
        <v>222023</v>
      </c>
      <c r="D541" s="3" t="s">
        <v>1271</v>
      </c>
      <c r="E541" s="18" t="n">
        <v>45237</v>
      </c>
      <c r="F541" s="3" t="s">
        <v>1262</v>
      </c>
      <c r="G541" s="3" t="s">
        <v>5</v>
      </c>
      <c r="H541" s="19"/>
      <c r="I541" s="19"/>
      <c r="J541" s="20"/>
      <c r="K541" s="20"/>
      <c r="L541" s="19"/>
      <c r="M541" s="19"/>
      <c r="N541" s="19"/>
      <c r="O541" s="20"/>
      <c r="P541" s="20"/>
    </row>
    <row r="542" customFormat="false" ht="14.25" hidden="false" customHeight="true" outlineLevel="0" collapsed="false">
      <c r="A542" s="3" t="s">
        <v>1259</v>
      </c>
      <c r="B542" s="3" t="s">
        <v>1260</v>
      </c>
      <c r="C542" s="3" t="n">
        <v>222023</v>
      </c>
      <c r="D542" s="3" t="s">
        <v>1272</v>
      </c>
      <c r="E542" s="18" t="n">
        <v>45239</v>
      </c>
      <c r="F542" s="3" t="s">
        <v>1262</v>
      </c>
      <c r="G542" s="3" t="s">
        <v>5</v>
      </c>
      <c r="H542" s="19"/>
      <c r="I542" s="19"/>
      <c r="J542" s="20"/>
      <c r="K542" s="20"/>
      <c r="L542" s="19"/>
      <c r="M542" s="19"/>
      <c r="N542" s="19"/>
      <c r="O542" s="20"/>
      <c r="P542" s="20"/>
    </row>
    <row r="543" customFormat="false" ht="14.25" hidden="false" customHeight="true" outlineLevel="0" collapsed="false">
      <c r="A543" s="3" t="s">
        <v>1259</v>
      </c>
      <c r="B543" s="3" t="s">
        <v>1260</v>
      </c>
      <c r="C543" s="3" t="n">
        <v>222023</v>
      </c>
      <c r="D543" s="3" t="s">
        <v>1276</v>
      </c>
      <c r="E543" s="18" t="n">
        <v>45258</v>
      </c>
      <c r="F543" s="3" t="s">
        <v>1262</v>
      </c>
      <c r="G543" s="3" t="s">
        <v>5</v>
      </c>
      <c r="H543" s="19"/>
      <c r="I543" s="19"/>
      <c r="J543" s="20"/>
      <c r="K543" s="20"/>
      <c r="L543" s="19"/>
      <c r="M543" s="19"/>
      <c r="N543" s="19"/>
      <c r="O543" s="20"/>
      <c r="P543" s="20"/>
    </row>
    <row r="544" customFormat="false" ht="14.25" hidden="false" customHeight="true" outlineLevel="0" collapsed="false">
      <c r="A544" s="3" t="s">
        <v>1259</v>
      </c>
      <c r="B544" s="3" t="s">
        <v>1260</v>
      </c>
      <c r="C544" s="3" t="n">
        <v>222023</v>
      </c>
      <c r="D544" s="3" t="s">
        <v>1405</v>
      </c>
      <c r="E544" s="18" t="n">
        <v>45261</v>
      </c>
      <c r="F544" s="3" t="s">
        <v>1262</v>
      </c>
      <c r="G544" s="3" t="s">
        <v>1275</v>
      </c>
      <c r="H544" s="19"/>
      <c r="I544" s="19"/>
      <c r="J544" s="20"/>
      <c r="K544" s="20"/>
      <c r="L544" s="19"/>
      <c r="M544" s="19"/>
      <c r="N544" s="19"/>
      <c r="O544" s="20"/>
      <c r="P544" s="20"/>
    </row>
    <row r="545" customFormat="false" ht="14.25" hidden="false" customHeight="true" outlineLevel="0" collapsed="false">
      <c r="A545" s="3" t="s">
        <v>1259</v>
      </c>
      <c r="B545" s="3" t="s">
        <v>1260</v>
      </c>
      <c r="C545" s="3" t="n">
        <v>222023</v>
      </c>
      <c r="D545" s="3" t="s">
        <v>1406</v>
      </c>
      <c r="E545" s="18" t="n">
        <v>45266</v>
      </c>
      <c r="F545" s="3" t="s">
        <v>1262</v>
      </c>
      <c r="G545" s="3" t="s">
        <v>1268</v>
      </c>
      <c r="H545" s="19"/>
      <c r="I545" s="19"/>
      <c r="J545" s="20"/>
      <c r="K545" s="20"/>
      <c r="L545" s="19"/>
      <c r="M545" s="19"/>
      <c r="N545" s="19"/>
      <c r="O545" s="20"/>
      <c r="P545" s="20"/>
    </row>
    <row r="546" customFormat="false" ht="14.25" hidden="false" customHeight="true" outlineLevel="0" collapsed="false">
      <c r="A546" s="3" t="s">
        <v>1259</v>
      </c>
      <c r="B546" s="3" t="s">
        <v>1260</v>
      </c>
      <c r="C546" s="3" t="n">
        <v>222023</v>
      </c>
      <c r="D546" s="3" t="s">
        <v>1278</v>
      </c>
      <c r="E546" s="18" t="n">
        <v>45279</v>
      </c>
      <c r="F546" s="3" t="s">
        <v>1262</v>
      </c>
      <c r="G546" s="3" t="s">
        <v>5</v>
      </c>
      <c r="H546" s="19"/>
      <c r="I546" s="19"/>
      <c r="J546" s="20"/>
      <c r="K546" s="20"/>
      <c r="L546" s="19"/>
      <c r="M546" s="19"/>
      <c r="N546" s="19"/>
      <c r="O546" s="20"/>
      <c r="P546" s="20"/>
    </row>
    <row r="547" customFormat="false" ht="14.25" hidden="false" customHeight="true" outlineLevel="0" collapsed="false">
      <c r="A547" s="3" t="s">
        <v>1259</v>
      </c>
      <c r="B547" s="3" t="s">
        <v>1260</v>
      </c>
      <c r="C547" s="3" t="n">
        <v>222023</v>
      </c>
      <c r="D547" s="3" t="s">
        <v>1407</v>
      </c>
      <c r="E547" s="18" t="n">
        <v>45293</v>
      </c>
      <c r="F547" s="3" t="s">
        <v>1262</v>
      </c>
      <c r="G547" s="3" t="s">
        <v>1275</v>
      </c>
      <c r="H547" s="19"/>
      <c r="I547" s="19"/>
      <c r="J547" s="20"/>
      <c r="K547" s="20"/>
      <c r="L547" s="19"/>
      <c r="M547" s="19"/>
      <c r="N547" s="19"/>
      <c r="O547" s="20"/>
      <c r="P547" s="20"/>
    </row>
    <row r="548" customFormat="false" ht="14.25" hidden="false" customHeight="true" outlineLevel="0" collapsed="false">
      <c r="A548" s="3" t="s">
        <v>1259</v>
      </c>
      <c r="B548" s="3" t="s">
        <v>1260</v>
      </c>
      <c r="C548" s="3" t="n">
        <v>222023</v>
      </c>
      <c r="D548" s="3" t="s">
        <v>1281</v>
      </c>
      <c r="E548" s="18" t="n">
        <v>45300</v>
      </c>
      <c r="F548" s="3" t="s">
        <v>1262</v>
      </c>
      <c r="G548" s="3" t="s">
        <v>5</v>
      </c>
      <c r="H548" s="19"/>
      <c r="I548" s="19"/>
      <c r="J548" s="20"/>
      <c r="K548" s="20"/>
      <c r="L548" s="19"/>
      <c r="M548" s="19"/>
      <c r="N548" s="19"/>
      <c r="O548" s="20"/>
      <c r="P548" s="20"/>
    </row>
    <row r="549" customFormat="false" ht="14.25" hidden="false" customHeight="true" outlineLevel="0" collapsed="false">
      <c r="A549" s="3" t="s">
        <v>1259</v>
      </c>
      <c r="B549" s="3" t="s">
        <v>1260</v>
      </c>
      <c r="C549" s="3" t="n">
        <v>222023</v>
      </c>
      <c r="D549" s="3" t="s">
        <v>1283</v>
      </c>
      <c r="E549" s="18" t="n">
        <v>45321</v>
      </c>
      <c r="F549" s="3" t="s">
        <v>1262</v>
      </c>
      <c r="G549" s="3" t="s">
        <v>5</v>
      </c>
      <c r="H549" s="19"/>
      <c r="I549" s="19"/>
      <c r="J549" s="20"/>
      <c r="K549" s="20"/>
      <c r="L549" s="19"/>
      <c r="M549" s="19"/>
      <c r="N549" s="19"/>
      <c r="O549" s="20"/>
      <c r="P549" s="20"/>
    </row>
    <row r="550" customFormat="false" ht="14.25" hidden="false" customHeight="true" outlineLevel="0" collapsed="false">
      <c r="A550" s="3" t="s">
        <v>1259</v>
      </c>
      <c r="B550" s="3" t="s">
        <v>1260</v>
      </c>
      <c r="C550" s="3" t="n">
        <v>222023</v>
      </c>
      <c r="D550" s="3" t="s">
        <v>1408</v>
      </c>
      <c r="E550" s="18" t="n">
        <v>45335</v>
      </c>
      <c r="F550" s="3" t="s">
        <v>1262</v>
      </c>
      <c r="G550" s="3" t="s">
        <v>1275</v>
      </c>
      <c r="H550" s="19"/>
      <c r="I550" s="19"/>
      <c r="J550" s="20"/>
      <c r="K550" s="20"/>
      <c r="L550" s="19"/>
      <c r="M550" s="19"/>
      <c r="N550" s="19"/>
      <c r="O550" s="20"/>
      <c r="P550" s="20"/>
    </row>
    <row r="551" customFormat="false" ht="14.25" hidden="false" customHeight="true" outlineLevel="0" collapsed="false">
      <c r="A551" s="3" t="s">
        <v>1259</v>
      </c>
      <c r="B551" s="3" t="s">
        <v>1260</v>
      </c>
      <c r="C551" s="3" t="n">
        <v>222023</v>
      </c>
      <c r="D551" s="3" t="s">
        <v>1286</v>
      </c>
      <c r="E551" s="18" t="n">
        <v>45342</v>
      </c>
      <c r="F551" s="3" t="s">
        <v>1262</v>
      </c>
      <c r="G551" s="3" t="s">
        <v>5</v>
      </c>
      <c r="H551" s="19"/>
      <c r="I551" s="19"/>
      <c r="J551" s="20"/>
      <c r="K551" s="20"/>
      <c r="L551" s="19"/>
      <c r="M551" s="19"/>
      <c r="N551" s="19"/>
      <c r="O551" s="20"/>
      <c r="P551" s="20"/>
    </row>
    <row r="552" customFormat="false" ht="14.25" hidden="false" customHeight="true" outlineLevel="0" collapsed="false">
      <c r="A552" s="3" t="s">
        <v>1259</v>
      </c>
      <c r="B552" s="3" t="s">
        <v>1260</v>
      </c>
      <c r="C552" s="3" t="n">
        <v>222023</v>
      </c>
      <c r="D552" s="3" t="s">
        <v>1288</v>
      </c>
      <c r="E552" s="18" t="n">
        <v>45363</v>
      </c>
      <c r="F552" s="3" t="s">
        <v>1262</v>
      </c>
      <c r="G552" s="3" t="s">
        <v>5</v>
      </c>
      <c r="H552" s="19"/>
      <c r="I552" s="19"/>
      <c r="J552" s="20"/>
      <c r="K552" s="20"/>
      <c r="L552" s="19"/>
      <c r="M552" s="19"/>
      <c r="N552" s="19"/>
      <c r="O552" s="20"/>
      <c r="P552" s="20"/>
    </row>
    <row r="553" customFormat="false" ht="14.25" hidden="false" customHeight="true" outlineLevel="0" collapsed="false">
      <c r="A553" s="3" t="s">
        <v>1259</v>
      </c>
      <c r="B553" s="3" t="s">
        <v>1260</v>
      </c>
      <c r="C553" s="3" t="n">
        <v>222023</v>
      </c>
      <c r="D553" s="3" t="s">
        <v>1331</v>
      </c>
      <c r="E553" s="18" t="n">
        <v>45377</v>
      </c>
      <c r="F553" s="3" t="s">
        <v>1262</v>
      </c>
      <c r="G553" s="3" t="s">
        <v>1275</v>
      </c>
      <c r="H553" s="19"/>
      <c r="I553" s="19"/>
      <c r="J553" s="20"/>
      <c r="K553" s="20"/>
      <c r="L553" s="19"/>
      <c r="M553" s="19"/>
      <c r="N553" s="19"/>
      <c r="O553" s="20"/>
      <c r="P553" s="20"/>
    </row>
    <row r="554" customFormat="false" ht="14.25" hidden="false" customHeight="true" outlineLevel="0" collapsed="false">
      <c r="A554" s="3" t="s">
        <v>1259</v>
      </c>
      <c r="B554" s="3" t="s">
        <v>1260</v>
      </c>
      <c r="C554" s="3" t="n">
        <v>222023</v>
      </c>
      <c r="D554" s="3" t="s">
        <v>1290</v>
      </c>
      <c r="E554" s="18" t="n">
        <v>45384</v>
      </c>
      <c r="F554" s="3" t="s">
        <v>1262</v>
      </c>
      <c r="G554" s="3" t="s">
        <v>5</v>
      </c>
      <c r="H554" s="19"/>
      <c r="I554" s="19"/>
      <c r="J554" s="20"/>
      <c r="K554" s="20"/>
      <c r="L554" s="19"/>
      <c r="M554" s="19"/>
      <c r="N554" s="19"/>
      <c r="O554" s="20"/>
      <c r="P554" s="20"/>
    </row>
    <row r="555" customFormat="false" ht="14.25" hidden="false" customHeight="true" outlineLevel="0" collapsed="false">
      <c r="A555" s="3" t="s">
        <v>1259</v>
      </c>
      <c r="B555" s="3" t="s">
        <v>1260</v>
      </c>
      <c r="C555" s="3" t="n">
        <v>222023</v>
      </c>
      <c r="D555" s="3" t="s">
        <v>1293</v>
      </c>
      <c r="E555" s="18" t="n">
        <v>45405</v>
      </c>
      <c r="F555" s="3" t="s">
        <v>1262</v>
      </c>
      <c r="G555" s="3" t="s">
        <v>5</v>
      </c>
      <c r="H555" s="19"/>
      <c r="I555" s="19"/>
      <c r="J555" s="20"/>
      <c r="K555" s="20"/>
      <c r="L555" s="19"/>
      <c r="M555" s="19"/>
      <c r="N555" s="19"/>
      <c r="O555" s="20"/>
      <c r="P555" s="20"/>
    </row>
    <row r="556" customFormat="false" ht="14.25" hidden="false" customHeight="true" outlineLevel="0" collapsed="false">
      <c r="A556" s="3" t="s">
        <v>1259</v>
      </c>
      <c r="B556" s="3" t="s">
        <v>1260</v>
      </c>
      <c r="C556" s="3" t="n">
        <v>222023</v>
      </c>
      <c r="D556" s="3" t="s">
        <v>1409</v>
      </c>
      <c r="E556" s="18" t="n">
        <v>45419</v>
      </c>
      <c r="F556" s="3" t="s">
        <v>1262</v>
      </c>
      <c r="G556" s="3" t="s">
        <v>1275</v>
      </c>
      <c r="H556" s="19"/>
      <c r="I556" s="19"/>
      <c r="J556" s="20"/>
      <c r="K556" s="20"/>
      <c r="L556" s="19"/>
      <c r="M556" s="19"/>
      <c r="N556" s="19"/>
      <c r="O556" s="20"/>
      <c r="P556" s="20"/>
    </row>
    <row r="557" customFormat="false" ht="14.25" hidden="false" customHeight="true" outlineLevel="0" collapsed="false">
      <c r="A557" s="3" t="s">
        <v>1259</v>
      </c>
      <c r="B557" s="3" t="s">
        <v>1260</v>
      </c>
      <c r="C557" s="3" t="n">
        <v>222023</v>
      </c>
      <c r="D557" s="3" t="s">
        <v>1295</v>
      </c>
      <c r="E557" s="18" t="n">
        <v>45426</v>
      </c>
      <c r="F557" s="3" t="s">
        <v>1262</v>
      </c>
      <c r="G557" s="3" t="s">
        <v>5</v>
      </c>
      <c r="H557" s="19"/>
      <c r="I557" s="19"/>
      <c r="J557" s="20"/>
      <c r="K557" s="20"/>
      <c r="L557" s="19"/>
      <c r="M557" s="19"/>
      <c r="N557" s="19"/>
      <c r="O557" s="20"/>
      <c r="P557" s="20"/>
    </row>
    <row r="558" customFormat="false" ht="14.25" hidden="false" customHeight="true" outlineLevel="0" collapsed="false">
      <c r="A558" s="3" t="s">
        <v>1259</v>
      </c>
      <c r="B558" s="3" t="s">
        <v>1260</v>
      </c>
      <c r="C558" s="3" t="n">
        <v>222038</v>
      </c>
      <c r="D558" s="3" t="s">
        <v>1261</v>
      </c>
      <c r="E558" s="18" t="n">
        <v>45236</v>
      </c>
      <c r="F558" s="3" t="s">
        <v>1262</v>
      </c>
      <c r="G558" s="3" t="s">
        <v>5</v>
      </c>
      <c r="H558" s="19" t="n">
        <v>45236</v>
      </c>
      <c r="I558" s="19" t="n">
        <v>45054</v>
      </c>
      <c r="J558" s="20" t="n">
        <v>63</v>
      </c>
      <c r="K558" s="20" t="s">
        <v>1313</v>
      </c>
      <c r="L558" s="19" t="s">
        <v>12</v>
      </c>
      <c r="M558" s="19"/>
      <c r="N558" s="19"/>
      <c r="O558" s="20"/>
      <c r="P558" s="20"/>
    </row>
    <row r="559" customFormat="false" ht="14.25" hidden="false" customHeight="true" outlineLevel="0" collapsed="false">
      <c r="A559" s="3" t="s">
        <v>1259</v>
      </c>
      <c r="B559" s="3" t="s">
        <v>1260</v>
      </c>
      <c r="C559" s="3" t="n">
        <v>222038</v>
      </c>
      <c r="D559" s="3" t="s">
        <v>1264</v>
      </c>
      <c r="E559" s="18" t="n">
        <v>45245</v>
      </c>
      <c r="F559" s="3" t="s">
        <v>1262</v>
      </c>
      <c r="G559" s="3" t="s">
        <v>5</v>
      </c>
      <c r="H559" s="19"/>
      <c r="I559" s="19"/>
      <c r="J559" s="20"/>
      <c r="K559" s="20"/>
      <c r="L559" s="19"/>
      <c r="M559" s="19"/>
      <c r="N559" s="19"/>
      <c r="O559" s="20"/>
      <c r="P559" s="20"/>
    </row>
    <row r="560" customFormat="false" ht="14.25" hidden="false" customHeight="true" outlineLevel="0" collapsed="false">
      <c r="A560" s="3" t="s">
        <v>1259</v>
      </c>
      <c r="B560" s="3" t="s">
        <v>1260</v>
      </c>
      <c r="C560" s="3" t="n">
        <v>222038</v>
      </c>
      <c r="D560" s="3" t="s">
        <v>1265</v>
      </c>
      <c r="E560" s="18" t="n">
        <v>45247</v>
      </c>
      <c r="F560" s="3" t="s">
        <v>1262</v>
      </c>
      <c r="G560" s="3" t="s">
        <v>5</v>
      </c>
      <c r="H560" s="19"/>
      <c r="I560" s="19"/>
      <c r="J560" s="20"/>
      <c r="K560" s="20"/>
      <c r="L560" s="19"/>
      <c r="M560" s="19"/>
      <c r="N560" s="19"/>
      <c r="O560" s="20"/>
      <c r="P560" s="20"/>
    </row>
    <row r="561" customFormat="false" ht="14.25" hidden="false" customHeight="true" outlineLevel="0" collapsed="false">
      <c r="A561" s="3" t="s">
        <v>1259</v>
      </c>
      <c r="B561" s="3" t="s">
        <v>1260</v>
      </c>
      <c r="C561" s="3" t="n">
        <v>222038</v>
      </c>
      <c r="D561" s="3" t="s">
        <v>1266</v>
      </c>
      <c r="E561" s="18" t="n">
        <v>45252</v>
      </c>
      <c r="F561" s="3" t="s">
        <v>1262</v>
      </c>
      <c r="G561" s="3" t="s">
        <v>5</v>
      </c>
      <c r="H561" s="19"/>
      <c r="I561" s="19"/>
      <c r="J561" s="20"/>
      <c r="K561" s="20"/>
      <c r="L561" s="19"/>
      <c r="M561" s="19"/>
      <c r="N561" s="19"/>
      <c r="O561" s="20"/>
      <c r="P561" s="20"/>
    </row>
    <row r="562" customFormat="false" ht="14.25" hidden="false" customHeight="true" outlineLevel="0" collapsed="false">
      <c r="A562" s="3" t="s">
        <v>1259</v>
      </c>
      <c r="B562" s="3" t="s">
        <v>1260</v>
      </c>
      <c r="C562" s="3" t="n">
        <v>222038</v>
      </c>
      <c r="D562" s="3" t="s">
        <v>1269</v>
      </c>
      <c r="E562" s="18" t="n">
        <v>45258</v>
      </c>
      <c r="F562" s="3" t="s">
        <v>1262</v>
      </c>
      <c r="G562" s="3" t="s">
        <v>5</v>
      </c>
      <c r="H562" s="19"/>
      <c r="I562" s="19"/>
      <c r="J562" s="20"/>
      <c r="K562" s="20"/>
      <c r="L562" s="19"/>
      <c r="M562" s="19"/>
      <c r="N562" s="19"/>
      <c r="O562" s="20"/>
      <c r="P562" s="20"/>
    </row>
    <row r="563" customFormat="false" ht="14.25" hidden="false" customHeight="true" outlineLevel="0" collapsed="false">
      <c r="A563" s="3" t="s">
        <v>1259</v>
      </c>
      <c r="B563" s="3" t="s">
        <v>1260</v>
      </c>
      <c r="C563" s="3" t="n">
        <v>222038</v>
      </c>
      <c r="D563" s="3" t="s">
        <v>1271</v>
      </c>
      <c r="E563" s="18" t="n">
        <v>45266</v>
      </c>
      <c r="F563" s="3" t="s">
        <v>1262</v>
      </c>
      <c r="G563" s="3" t="s">
        <v>5</v>
      </c>
      <c r="H563" s="19"/>
      <c r="I563" s="19"/>
      <c r="J563" s="20"/>
      <c r="K563" s="20"/>
      <c r="L563" s="19"/>
      <c r="M563" s="19"/>
      <c r="N563" s="19"/>
      <c r="O563" s="20"/>
      <c r="P563" s="20"/>
    </row>
    <row r="564" customFormat="false" ht="14.25" hidden="false" customHeight="true" outlineLevel="0" collapsed="false">
      <c r="A564" s="3" t="s">
        <v>1259</v>
      </c>
      <c r="B564" s="3" t="s">
        <v>1260</v>
      </c>
      <c r="C564" s="3" t="n">
        <v>222038</v>
      </c>
      <c r="D564" s="3" t="s">
        <v>1272</v>
      </c>
      <c r="E564" s="18" t="n">
        <v>45268</v>
      </c>
      <c r="F564" s="3" t="s">
        <v>1262</v>
      </c>
      <c r="G564" s="3" t="s">
        <v>5</v>
      </c>
      <c r="H564" s="19"/>
      <c r="I564" s="19"/>
      <c r="J564" s="20"/>
      <c r="K564" s="20"/>
      <c r="L564" s="19"/>
      <c r="M564" s="19"/>
      <c r="N564" s="19"/>
      <c r="O564" s="20"/>
      <c r="P564" s="20"/>
    </row>
    <row r="565" customFormat="false" ht="14.25" hidden="false" customHeight="true" outlineLevel="0" collapsed="false">
      <c r="A565" s="3" t="s">
        <v>1259</v>
      </c>
      <c r="B565" s="3" t="s">
        <v>1260</v>
      </c>
      <c r="C565" s="3" t="n">
        <v>222038</v>
      </c>
      <c r="D565" s="3" t="s">
        <v>1276</v>
      </c>
      <c r="E565" s="18" t="n">
        <v>45287</v>
      </c>
      <c r="F565" s="3" t="s">
        <v>1262</v>
      </c>
      <c r="G565" s="3" t="s">
        <v>5</v>
      </c>
      <c r="H565" s="19"/>
      <c r="I565" s="19"/>
      <c r="J565" s="20"/>
      <c r="K565" s="20"/>
      <c r="L565" s="19"/>
      <c r="M565" s="19"/>
      <c r="N565" s="19"/>
      <c r="O565" s="20"/>
      <c r="P565" s="20"/>
    </row>
    <row r="566" customFormat="false" ht="14.25" hidden="false" customHeight="true" outlineLevel="0" collapsed="false">
      <c r="A566" s="3" t="s">
        <v>1259</v>
      </c>
      <c r="B566" s="3" t="s">
        <v>1260</v>
      </c>
      <c r="C566" s="3" t="n">
        <v>222038</v>
      </c>
      <c r="D566" s="3" t="s">
        <v>1410</v>
      </c>
      <c r="E566" s="18" t="n">
        <v>45287</v>
      </c>
      <c r="F566" s="3" t="s">
        <v>1262</v>
      </c>
      <c r="G566" s="3" t="s">
        <v>1275</v>
      </c>
      <c r="H566" s="19"/>
      <c r="I566" s="19"/>
      <c r="J566" s="20"/>
      <c r="K566" s="20"/>
      <c r="L566" s="19"/>
      <c r="M566" s="19"/>
      <c r="N566" s="19"/>
      <c r="O566" s="20"/>
      <c r="P566" s="20"/>
    </row>
    <row r="567" customFormat="false" ht="14.25" hidden="false" customHeight="true" outlineLevel="0" collapsed="false">
      <c r="A567" s="3" t="s">
        <v>1259</v>
      </c>
      <c r="B567" s="3" t="s">
        <v>1260</v>
      </c>
      <c r="C567" s="3" t="n">
        <v>222038</v>
      </c>
      <c r="D567" s="3" t="s">
        <v>1278</v>
      </c>
      <c r="E567" s="18" t="n">
        <v>45308</v>
      </c>
      <c r="F567" s="3" t="s">
        <v>1262</v>
      </c>
      <c r="G567" s="3" t="s">
        <v>5</v>
      </c>
      <c r="H567" s="19"/>
      <c r="I567" s="19"/>
      <c r="J567" s="20"/>
      <c r="K567" s="20"/>
      <c r="L567" s="19"/>
      <c r="M567" s="19"/>
      <c r="N567" s="19"/>
      <c r="O567" s="20"/>
      <c r="P567" s="20"/>
    </row>
    <row r="568" customFormat="false" ht="14.25" hidden="false" customHeight="true" outlineLevel="0" collapsed="false">
      <c r="A568" s="3" t="s">
        <v>1259</v>
      </c>
      <c r="B568" s="3" t="s">
        <v>1260</v>
      </c>
      <c r="C568" s="3" t="n">
        <v>222038</v>
      </c>
      <c r="D568" s="3" t="s">
        <v>1281</v>
      </c>
      <c r="E568" s="18" t="n">
        <v>45329</v>
      </c>
      <c r="F568" s="3" t="s">
        <v>1262</v>
      </c>
      <c r="G568" s="3" t="s">
        <v>5</v>
      </c>
      <c r="H568" s="19"/>
      <c r="I568" s="19"/>
      <c r="J568" s="20"/>
      <c r="K568" s="20"/>
      <c r="L568" s="19"/>
      <c r="M568" s="19"/>
      <c r="N568" s="19"/>
      <c r="O568" s="20"/>
      <c r="P568" s="20"/>
    </row>
    <row r="569" customFormat="false" ht="14.25" hidden="false" customHeight="true" outlineLevel="0" collapsed="false">
      <c r="A569" s="3" t="s">
        <v>1259</v>
      </c>
      <c r="B569" s="3" t="s">
        <v>1260</v>
      </c>
      <c r="C569" s="3" t="n">
        <v>222038</v>
      </c>
      <c r="D569" s="3" t="s">
        <v>1411</v>
      </c>
      <c r="E569" s="18" t="n">
        <v>45329</v>
      </c>
      <c r="F569" s="3" t="s">
        <v>1262</v>
      </c>
      <c r="G569" s="3" t="s">
        <v>1275</v>
      </c>
      <c r="H569" s="19"/>
      <c r="I569" s="19"/>
      <c r="J569" s="20"/>
      <c r="K569" s="20"/>
      <c r="L569" s="19"/>
      <c r="M569" s="19"/>
      <c r="N569" s="19"/>
      <c r="O569" s="20"/>
      <c r="P569" s="20"/>
    </row>
    <row r="570" customFormat="false" ht="14.25" hidden="false" customHeight="true" outlineLevel="0" collapsed="false">
      <c r="A570" s="3" t="s">
        <v>1259</v>
      </c>
      <c r="B570" s="3" t="s">
        <v>1260</v>
      </c>
      <c r="C570" s="3" t="n">
        <v>222038</v>
      </c>
      <c r="D570" s="3" t="s">
        <v>1283</v>
      </c>
      <c r="E570" s="18" t="n">
        <v>45350</v>
      </c>
      <c r="F570" s="3" t="s">
        <v>1262</v>
      </c>
      <c r="G570" s="3" t="s">
        <v>5</v>
      </c>
      <c r="H570" s="19"/>
      <c r="I570" s="19"/>
      <c r="J570" s="20"/>
      <c r="K570" s="20"/>
      <c r="L570" s="19"/>
      <c r="M570" s="19"/>
      <c r="N570" s="19"/>
      <c r="O570" s="20"/>
      <c r="P570" s="20"/>
    </row>
    <row r="571" customFormat="false" ht="14.25" hidden="false" customHeight="true" outlineLevel="0" collapsed="false">
      <c r="A571" s="3" t="s">
        <v>1259</v>
      </c>
      <c r="B571" s="3" t="s">
        <v>1260</v>
      </c>
      <c r="C571" s="3" t="n">
        <v>222038</v>
      </c>
      <c r="D571" s="3" t="s">
        <v>1286</v>
      </c>
      <c r="E571" s="18" t="n">
        <v>45371</v>
      </c>
      <c r="F571" s="3" t="s">
        <v>1262</v>
      </c>
      <c r="G571" s="3" t="s">
        <v>5</v>
      </c>
      <c r="H571" s="19"/>
      <c r="I571" s="19"/>
      <c r="J571" s="20"/>
      <c r="K571" s="20"/>
      <c r="L571" s="19"/>
      <c r="M571" s="19"/>
      <c r="N571" s="19"/>
      <c r="O571" s="20"/>
      <c r="P571" s="20"/>
    </row>
    <row r="572" customFormat="false" ht="14.25" hidden="false" customHeight="true" outlineLevel="0" collapsed="false">
      <c r="A572" s="3" t="s">
        <v>1259</v>
      </c>
      <c r="B572" s="3" t="s">
        <v>1260</v>
      </c>
      <c r="C572" s="3" t="n">
        <v>222038</v>
      </c>
      <c r="D572" s="3" t="s">
        <v>1412</v>
      </c>
      <c r="E572" s="18" t="n">
        <v>45371</v>
      </c>
      <c r="F572" s="3" t="s">
        <v>1262</v>
      </c>
      <c r="G572" s="3" t="s">
        <v>1275</v>
      </c>
      <c r="H572" s="19"/>
      <c r="I572" s="19"/>
      <c r="J572" s="20"/>
      <c r="K572" s="20"/>
      <c r="L572" s="19"/>
      <c r="M572" s="19"/>
      <c r="N572" s="19"/>
      <c r="O572" s="20"/>
      <c r="P572" s="20"/>
    </row>
    <row r="573" customFormat="false" ht="14.25" hidden="false" customHeight="true" outlineLevel="0" collapsed="false">
      <c r="A573" s="3" t="s">
        <v>1259</v>
      </c>
      <c r="B573" s="3" t="s">
        <v>1260</v>
      </c>
      <c r="C573" s="3" t="n">
        <v>222038</v>
      </c>
      <c r="D573" s="3" t="s">
        <v>1288</v>
      </c>
      <c r="E573" s="18" t="n">
        <v>45391</v>
      </c>
      <c r="F573" s="3" t="s">
        <v>1262</v>
      </c>
      <c r="G573" s="3" t="s">
        <v>5</v>
      </c>
      <c r="H573" s="19"/>
      <c r="I573" s="19"/>
      <c r="J573" s="20"/>
      <c r="K573" s="20"/>
      <c r="L573" s="19"/>
      <c r="M573" s="19"/>
      <c r="N573" s="19"/>
      <c r="O573" s="20"/>
      <c r="P573" s="20"/>
    </row>
    <row r="574" customFormat="false" ht="14.25" hidden="false" customHeight="true" outlineLevel="0" collapsed="false">
      <c r="A574" s="3" t="s">
        <v>1259</v>
      </c>
      <c r="B574" s="3" t="s">
        <v>1260</v>
      </c>
      <c r="C574" s="3" t="n">
        <v>222038</v>
      </c>
      <c r="D574" s="3" t="s">
        <v>1290</v>
      </c>
      <c r="E574" s="18" t="n">
        <v>45412</v>
      </c>
      <c r="F574" s="3" t="s">
        <v>1262</v>
      </c>
      <c r="G574" s="3" t="s">
        <v>5</v>
      </c>
      <c r="H574" s="19"/>
      <c r="I574" s="19"/>
      <c r="J574" s="20"/>
      <c r="K574" s="20"/>
      <c r="L574" s="19"/>
      <c r="M574" s="19"/>
      <c r="N574" s="19"/>
      <c r="O574" s="20"/>
      <c r="P574" s="20"/>
    </row>
    <row r="575" customFormat="false" ht="14.25" hidden="false" customHeight="true" outlineLevel="0" collapsed="false">
      <c r="A575" s="3" t="s">
        <v>1259</v>
      </c>
      <c r="B575" s="3" t="s">
        <v>1260</v>
      </c>
      <c r="C575" s="3" t="n">
        <v>222038</v>
      </c>
      <c r="D575" s="3" t="s">
        <v>1413</v>
      </c>
      <c r="E575" s="18" t="n">
        <v>45412</v>
      </c>
      <c r="F575" s="3" t="s">
        <v>1262</v>
      </c>
      <c r="G575" s="3" t="s">
        <v>1275</v>
      </c>
      <c r="H575" s="19"/>
      <c r="I575" s="19"/>
      <c r="J575" s="20"/>
      <c r="K575" s="20"/>
      <c r="L575" s="19"/>
      <c r="M575" s="19"/>
      <c r="N575" s="19"/>
      <c r="O575" s="20"/>
      <c r="P575" s="20"/>
    </row>
    <row r="576" customFormat="false" ht="14.25" hidden="false" customHeight="true" outlineLevel="0" collapsed="false">
      <c r="A576" s="3" t="s">
        <v>1259</v>
      </c>
      <c r="B576" s="3" t="s">
        <v>1260</v>
      </c>
      <c r="C576" s="3" t="n">
        <v>222054</v>
      </c>
      <c r="D576" s="3" t="s">
        <v>1261</v>
      </c>
      <c r="E576" s="18" t="n">
        <v>45266</v>
      </c>
      <c r="F576" s="3" t="s">
        <v>1262</v>
      </c>
      <c r="G576" s="3" t="s">
        <v>5</v>
      </c>
      <c r="H576" s="19" t="n">
        <v>45266</v>
      </c>
      <c r="I576" s="19" t="n">
        <v>45054</v>
      </c>
      <c r="J576" s="20" t="n">
        <v>72</v>
      </c>
      <c r="K576" s="20" t="s">
        <v>1313</v>
      </c>
      <c r="L576" s="19" t="s">
        <v>12</v>
      </c>
      <c r="M576" s="19"/>
      <c r="N576" s="19"/>
      <c r="O576" s="20"/>
      <c r="P576" s="20"/>
    </row>
    <row r="577" customFormat="false" ht="14.25" hidden="false" customHeight="true" outlineLevel="0" collapsed="false">
      <c r="A577" s="3" t="s">
        <v>1259</v>
      </c>
      <c r="B577" s="3" t="s">
        <v>1260</v>
      </c>
      <c r="C577" s="3" t="n">
        <v>222054</v>
      </c>
      <c r="D577" s="3" t="s">
        <v>1264</v>
      </c>
      <c r="E577" s="18" t="n">
        <v>45294</v>
      </c>
      <c r="F577" s="3" t="s">
        <v>1262</v>
      </c>
      <c r="G577" s="3" t="s">
        <v>5</v>
      </c>
      <c r="H577" s="19"/>
      <c r="I577" s="19"/>
      <c r="J577" s="20"/>
      <c r="K577" s="20"/>
      <c r="L577" s="19"/>
      <c r="M577" s="19"/>
      <c r="N577" s="19"/>
      <c r="O577" s="20"/>
      <c r="P577" s="20"/>
    </row>
    <row r="578" customFormat="false" ht="14.25" hidden="false" customHeight="true" outlineLevel="0" collapsed="false">
      <c r="A578" s="3" t="s">
        <v>1259</v>
      </c>
      <c r="B578" s="3" t="s">
        <v>1260</v>
      </c>
      <c r="C578" s="3" t="n">
        <v>222054</v>
      </c>
      <c r="D578" s="3" t="s">
        <v>1265</v>
      </c>
      <c r="E578" s="18" t="n">
        <v>45296</v>
      </c>
      <c r="F578" s="3" t="s">
        <v>1262</v>
      </c>
      <c r="G578" s="3" t="s">
        <v>5</v>
      </c>
      <c r="H578" s="19"/>
      <c r="I578" s="19"/>
      <c r="J578" s="20"/>
      <c r="K578" s="20"/>
      <c r="L578" s="19"/>
      <c r="M578" s="19"/>
      <c r="N578" s="19"/>
      <c r="O578" s="20"/>
      <c r="P578" s="20"/>
    </row>
    <row r="579" customFormat="false" ht="14.25" hidden="false" customHeight="true" outlineLevel="0" collapsed="false">
      <c r="A579" s="3" t="s">
        <v>1259</v>
      </c>
      <c r="B579" s="3" t="s">
        <v>1260</v>
      </c>
      <c r="C579" s="3" t="n">
        <v>222054</v>
      </c>
      <c r="D579" s="3" t="s">
        <v>1266</v>
      </c>
      <c r="E579" s="18" t="n">
        <v>45301</v>
      </c>
      <c r="F579" s="3" t="s">
        <v>1262</v>
      </c>
      <c r="G579" s="3" t="s">
        <v>5</v>
      </c>
      <c r="H579" s="19"/>
      <c r="I579" s="19"/>
      <c r="J579" s="20"/>
      <c r="K579" s="20"/>
      <c r="L579" s="19"/>
      <c r="M579" s="19"/>
      <c r="N579" s="19"/>
      <c r="O579" s="20"/>
      <c r="P579" s="20"/>
    </row>
    <row r="580" customFormat="false" ht="14.25" hidden="false" customHeight="true" outlineLevel="0" collapsed="false">
      <c r="A580" s="3" t="s">
        <v>1259</v>
      </c>
      <c r="B580" s="3" t="s">
        <v>1260</v>
      </c>
      <c r="C580" s="3" t="n">
        <v>222054</v>
      </c>
      <c r="D580" s="3" t="s">
        <v>1269</v>
      </c>
      <c r="E580" s="18" t="n">
        <v>45308</v>
      </c>
      <c r="F580" s="3" t="s">
        <v>1262</v>
      </c>
      <c r="G580" s="3" t="s">
        <v>5</v>
      </c>
      <c r="H580" s="19"/>
      <c r="I580" s="19"/>
      <c r="J580" s="20"/>
      <c r="K580" s="20"/>
      <c r="L580" s="19"/>
      <c r="M580" s="19"/>
      <c r="N580" s="19"/>
      <c r="O580" s="20"/>
      <c r="P580" s="20"/>
    </row>
    <row r="581" customFormat="false" ht="14.25" hidden="false" customHeight="true" outlineLevel="0" collapsed="false">
      <c r="A581" s="3" t="s">
        <v>1259</v>
      </c>
      <c r="B581" s="3" t="s">
        <v>1260</v>
      </c>
      <c r="C581" s="3" t="n">
        <v>222054</v>
      </c>
      <c r="D581" s="3" t="s">
        <v>1271</v>
      </c>
      <c r="E581" s="18" t="n">
        <v>45315</v>
      </c>
      <c r="F581" s="3" t="s">
        <v>1262</v>
      </c>
      <c r="G581" s="3" t="s">
        <v>5</v>
      </c>
      <c r="H581" s="19"/>
      <c r="I581" s="19"/>
      <c r="J581" s="20"/>
      <c r="K581" s="20"/>
      <c r="L581" s="19"/>
      <c r="M581" s="19"/>
      <c r="N581" s="19"/>
      <c r="O581" s="20"/>
      <c r="P581" s="20"/>
    </row>
    <row r="582" customFormat="false" ht="14.25" hidden="false" customHeight="true" outlineLevel="0" collapsed="false">
      <c r="A582" s="3" t="s">
        <v>1259</v>
      </c>
      <c r="B582" s="3" t="s">
        <v>1260</v>
      </c>
      <c r="C582" s="3" t="n">
        <v>222054</v>
      </c>
      <c r="D582" s="3" t="s">
        <v>1272</v>
      </c>
      <c r="E582" s="18" t="n">
        <v>45317</v>
      </c>
      <c r="F582" s="3" t="s">
        <v>1262</v>
      </c>
      <c r="G582" s="3" t="s">
        <v>5</v>
      </c>
      <c r="H582" s="19"/>
      <c r="I582" s="19"/>
      <c r="J582" s="20"/>
      <c r="K582" s="20"/>
      <c r="L582" s="19"/>
      <c r="M582" s="19"/>
      <c r="N582" s="19"/>
      <c r="O582" s="20"/>
      <c r="P582" s="20"/>
    </row>
    <row r="583" customFormat="false" ht="14.25" hidden="false" customHeight="true" outlineLevel="0" collapsed="false">
      <c r="A583" s="3" t="s">
        <v>1259</v>
      </c>
      <c r="B583" s="3" t="s">
        <v>1260</v>
      </c>
      <c r="C583" s="3" t="n">
        <v>222054</v>
      </c>
      <c r="D583" s="3" t="s">
        <v>1276</v>
      </c>
      <c r="E583" s="18" t="n">
        <v>45336</v>
      </c>
      <c r="F583" s="3" t="s">
        <v>1262</v>
      </c>
      <c r="G583" s="3" t="s">
        <v>5</v>
      </c>
      <c r="H583" s="19"/>
      <c r="I583" s="19"/>
      <c r="J583" s="20"/>
      <c r="K583" s="20"/>
      <c r="L583" s="19"/>
      <c r="M583" s="19"/>
      <c r="N583" s="19"/>
      <c r="O583" s="20"/>
      <c r="P583" s="20"/>
    </row>
    <row r="584" customFormat="false" ht="14.25" hidden="false" customHeight="true" outlineLevel="0" collapsed="false">
      <c r="A584" s="3" t="s">
        <v>1259</v>
      </c>
      <c r="B584" s="3" t="s">
        <v>1260</v>
      </c>
      <c r="C584" s="3" t="n">
        <v>222054</v>
      </c>
      <c r="D584" s="3" t="s">
        <v>1414</v>
      </c>
      <c r="E584" s="18" t="n">
        <v>45338</v>
      </c>
      <c r="F584" s="3" t="s">
        <v>1262</v>
      </c>
      <c r="G584" s="3" t="s">
        <v>1275</v>
      </c>
      <c r="H584" s="19"/>
      <c r="I584" s="19"/>
      <c r="J584" s="20"/>
      <c r="K584" s="20"/>
      <c r="L584" s="19"/>
      <c r="M584" s="19"/>
      <c r="N584" s="19"/>
      <c r="O584" s="20"/>
      <c r="P584" s="20"/>
    </row>
    <row r="585" customFormat="false" ht="14.25" hidden="false" customHeight="true" outlineLevel="0" collapsed="false">
      <c r="A585" s="3" t="s">
        <v>1259</v>
      </c>
      <c r="B585" s="3" t="s">
        <v>1260</v>
      </c>
      <c r="C585" s="3" t="n">
        <v>222054</v>
      </c>
      <c r="D585" s="3" t="s">
        <v>1278</v>
      </c>
      <c r="E585" s="18" t="n">
        <v>45357</v>
      </c>
      <c r="F585" s="3" t="s">
        <v>1262</v>
      </c>
      <c r="G585" s="3" t="s">
        <v>5</v>
      </c>
      <c r="H585" s="19"/>
      <c r="I585" s="19"/>
      <c r="J585" s="20"/>
      <c r="K585" s="20"/>
      <c r="L585" s="19"/>
      <c r="M585" s="19"/>
      <c r="N585" s="19"/>
      <c r="O585" s="20"/>
      <c r="P585" s="20"/>
    </row>
    <row r="586" customFormat="false" ht="14.25" hidden="false" customHeight="true" outlineLevel="0" collapsed="false">
      <c r="A586" s="3" t="s">
        <v>1259</v>
      </c>
      <c r="B586" s="3" t="s">
        <v>1260</v>
      </c>
      <c r="C586" s="3" t="n">
        <v>222054</v>
      </c>
      <c r="D586" s="3" t="s">
        <v>1281</v>
      </c>
      <c r="E586" s="18" t="n">
        <v>45378</v>
      </c>
      <c r="F586" s="3" t="s">
        <v>1262</v>
      </c>
      <c r="G586" s="3" t="s">
        <v>5</v>
      </c>
      <c r="H586" s="19"/>
      <c r="I586" s="19"/>
      <c r="J586" s="20"/>
      <c r="K586" s="20"/>
      <c r="L586" s="19"/>
      <c r="M586" s="19"/>
      <c r="N586" s="19"/>
      <c r="O586" s="20"/>
      <c r="P586" s="20"/>
    </row>
    <row r="587" customFormat="false" ht="14.25" hidden="false" customHeight="true" outlineLevel="0" collapsed="false">
      <c r="A587" s="3" t="s">
        <v>1259</v>
      </c>
      <c r="B587" s="3" t="s">
        <v>1260</v>
      </c>
      <c r="C587" s="3" t="n">
        <v>222054</v>
      </c>
      <c r="D587" s="3" t="s">
        <v>1415</v>
      </c>
      <c r="E587" s="18" t="n">
        <v>45378</v>
      </c>
      <c r="F587" s="3" t="s">
        <v>1262</v>
      </c>
      <c r="G587" s="3" t="s">
        <v>1275</v>
      </c>
      <c r="H587" s="19"/>
      <c r="I587" s="19"/>
      <c r="J587" s="20"/>
      <c r="K587" s="20"/>
      <c r="L587" s="19"/>
      <c r="M587" s="19"/>
      <c r="N587" s="19"/>
      <c r="O587" s="20"/>
      <c r="P587" s="20"/>
    </row>
    <row r="588" customFormat="false" ht="14.25" hidden="false" customHeight="true" outlineLevel="0" collapsed="false">
      <c r="A588" s="3" t="s">
        <v>1259</v>
      </c>
      <c r="B588" s="3" t="s">
        <v>1260</v>
      </c>
      <c r="C588" s="3" t="n">
        <v>222054</v>
      </c>
      <c r="D588" s="3" t="s">
        <v>1283</v>
      </c>
      <c r="E588" s="18" t="n">
        <v>45399</v>
      </c>
      <c r="F588" s="3" t="s">
        <v>1262</v>
      </c>
      <c r="G588" s="3" t="s">
        <v>5</v>
      </c>
      <c r="H588" s="19"/>
      <c r="I588" s="19"/>
      <c r="J588" s="20"/>
      <c r="K588" s="20"/>
      <c r="L588" s="19"/>
      <c r="M588" s="19"/>
      <c r="N588" s="19"/>
      <c r="O588" s="20"/>
      <c r="P588" s="20"/>
    </row>
    <row r="589" customFormat="false" ht="14.25" hidden="false" customHeight="true" outlineLevel="0" collapsed="false">
      <c r="A589" s="3" t="s">
        <v>1259</v>
      </c>
      <c r="B589" s="3" t="s">
        <v>1260</v>
      </c>
      <c r="C589" s="3" t="n">
        <v>222054</v>
      </c>
      <c r="D589" s="3" t="s">
        <v>1286</v>
      </c>
      <c r="E589" s="18" t="n">
        <v>45420</v>
      </c>
      <c r="F589" s="3" t="s">
        <v>1262</v>
      </c>
      <c r="G589" s="3" t="s">
        <v>5</v>
      </c>
      <c r="H589" s="19"/>
      <c r="I589" s="19"/>
      <c r="J589" s="20"/>
      <c r="K589" s="20"/>
      <c r="L589" s="19"/>
      <c r="M589" s="19"/>
      <c r="N589" s="19"/>
      <c r="O589" s="20"/>
      <c r="P589" s="20"/>
    </row>
    <row r="590" customFormat="false" ht="14.25" hidden="false" customHeight="true" outlineLevel="0" collapsed="false">
      <c r="A590" s="3" t="s">
        <v>1259</v>
      </c>
      <c r="B590" s="3" t="s">
        <v>1260</v>
      </c>
      <c r="C590" s="3" t="n">
        <v>222054</v>
      </c>
      <c r="D590" s="3" t="s">
        <v>1416</v>
      </c>
      <c r="E590" s="18" t="n">
        <v>45420</v>
      </c>
      <c r="F590" s="3" t="s">
        <v>1262</v>
      </c>
      <c r="G590" s="3" t="s">
        <v>1275</v>
      </c>
      <c r="H590" s="19"/>
      <c r="I590" s="19"/>
      <c r="J590" s="20"/>
      <c r="K590" s="20"/>
      <c r="L590" s="19"/>
      <c r="M590" s="19"/>
      <c r="N590" s="19"/>
      <c r="O590" s="20"/>
      <c r="P590" s="20"/>
    </row>
    <row r="591" customFormat="false" ht="14.25" hidden="false" customHeight="true" outlineLevel="0" collapsed="false">
      <c r="A591" s="3" t="s">
        <v>1259</v>
      </c>
      <c r="B591" s="3" t="s">
        <v>1260</v>
      </c>
      <c r="C591" s="3" t="n">
        <v>222055</v>
      </c>
      <c r="D591" s="3" t="s">
        <v>1261</v>
      </c>
      <c r="E591" s="18" t="n">
        <v>45266</v>
      </c>
      <c r="F591" s="3" t="s">
        <v>1262</v>
      </c>
      <c r="G591" s="3" t="s">
        <v>5</v>
      </c>
      <c r="H591" s="19" t="n">
        <v>45266</v>
      </c>
      <c r="I591" s="19" t="n">
        <v>45054</v>
      </c>
      <c r="J591" s="20" t="n">
        <v>69</v>
      </c>
      <c r="K591" s="20" t="s">
        <v>1263</v>
      </c>
      <c r="L591" s="19" t="s">
        <v>12</v>
      </c>
      <c r="M591" s="19"/>
      <c r="N591" s="19"/>
      <c r="O591" s="20"/>
      <c r="P591" s="20"/>
    </row>
    <row r="592" customFormat="false" ht="14.25" hidden="false" customHeight="true" outlineLevel="0" collapsed="false">
      <c r="A592" s="3" t="s">
        <v>1259</v>
      </c>
      <c r="B592" s="3" t="s">
        <v>1260</v>
      </c>
      <c r="C592" s="3" t="n">
        <v>222055</v>
      </c>
      <c r="D592" s="3" t="s">
        <v>1264</v>
      </c>
      <c r="E592" s="18" t="n">
        <v>45287</v>
      </c>
      <c r="F592" s="3" t="s">
        <v>1262</v>
      </c>
      <c r="G592" s="3" t="s">
        <v>5</v>
      </c>
      <c r="H592" s="19"/>
      <c r="I592" s="19"/>
      <c r="J592" s="20"/>
      <c r="K592" s="20"/>
      <c r="L592" s="19"/>
      <c r="M592" s="19"/>
      <c r="N592" s="19"/>
      <c r="O592" s="20"/>
      <c r="P592" s="20"/>
    </row>
    <row r="593" customFormat="false" ht="14.25" hidden="false" customHeight="true" outlineLevel="0" collapsed="false">
      <c r="A593" s="3" t="s">
        <v>1259</v>
      </c>
      <c r="B593" s="3" t="s">
        <v>1260</v>
      </c>
      <c r="C593" s="3" t="n">
        <v>222055</v>
      </c>
      <c r="D593" s="3" t="s">
        <v>1265</v>
      </c>
      <c r="E593" s="18" t="n">
        <v>45289</v>
      </c>
      <c r="F593" s="3" t="s">
        <v>1262</v>
      </c>
      <c r="G593" s="3" t="s">
        <v>5</v>
      </c>
      <c r="H593" s="19"/>
      <c r="I593" s="19"/>
      <c r="J593" s="20"/>
      <c r="K593" s="20"/>
      <c r="L593" s="19"/>
      <c r="M593" s="19"/>
      <c r="N593" s="19"/>
      <c r="O593" s="20"/>
      <c r="P593" s="20"/>
    </row>
    <row r="594" customFormat="false" ht="14.25" hidden="false" customHeight="true" outlineLevel="0" collapsed="false">
      <c r="A594" s="3" t="s">
        <v>1259</v>
      </c>
      <c r="B594" s="3" t="s">
        <v>1260</v>
      </c>
      <c r="C594" s="3" t="n">
        <v>222055</v>
      </c>
      <c r="D594" s="3" t="s">
        <v>1266</v>
      </c>
      <c r="E594" s="18" t="n">
        <v>45294</v>
      </c>
      <c r="F594" s="3" t="s">
        <v>1262</v>
      </c>
      <c r="G594" s="3" t="s">
        <v>5</v>
      </c>
      <c r="H594" s="19"/>
      <c r="I594" s="19"/>
      <c r="J594" s="20"/>
      <c r="K594" s="20"/>
      <c r="L594" s="19"/>
      <c r="M594" s="19"/>
      <c r="N594" s="19"/>
      <c r="O594" s="20"/>
      <c r="P594" s="20"/>
    </row>
    <row r="595" customFormat="false" ht="14.25" hidden="false" customHeight="true" outlineLevel="0" collapsed="false">
      <c r="A595" s="3" t="s">
        <v>1259</v>
      </c>
      <c r="B595" s="3" t="s">
        <v>1260</v>
      </c>
      <c r="C595" s="3" t="n">
        <v>222055</v>
      </c>
      <c r="D595" s="3" t="s">
        <v>1269</v>
      </c>
      <c r="E595" s="18" t="n">
        <v>45301</v>
      </c>
      <c r="F595" s="3" t="s">
        <v>1262</v>
      </c>
      <c r="G595" s="3" t="s">
        <v>5</v>
      </c>
      <c r="H595" s="19"/>
      <c r="I595" s="19"/>
      <c r="J595" s="20"/>
      <c r="K595" s="20"/>
      <c r="L595" s="19"/>
      <c r="M595" s="19"/>
      <c r="N595" s="19"/>
      <c r="O595" s="20"/>
      <c r="P595" s="20"/>
    </row>
    <row r="596" customFormat="false" ht="14.25" hidden="false" customHeight="true" outlineLevel="0" collapsed="false">
      <c r="A596" s="3" t="s">
        <v>1259</v>
      </c>
      <c r="B596" s="3" t="s">
        <v>1260</v>
      </c>
      <c r="C596" s="3" t="n">
        <v>222055</v>
      </c>
      <c r="D596" s="3" t="s">
        <v>1271</v>
      </c>
      <c r="E596" s="18" t="n">
        <v>45308</v>
      </c>
      <c r="F596" s="3" t="s">
        <v>1262</v>
      </c>
      <c r="G596" s="3" t="s">
        <v>5</v>
      </c>
      <c r="H596" s="19"/>
      <c r="I596" s="19"/>
      <c r="J596" s="20"/>
      <c r="K596" s="20"/>
      <c r="L596" s="19"/>
      <c r="M596" s="19"/>
      <c r="N596" s="19"/>
      <c r="O596" s="20"/>
      <c r="P596" s="20"/>
    </row>
    <row r="597" customFormat="false" ht="14.25" hidden="false" customHeight="true" outlineLevel="0" collapsed="false">
      <c r="A597" s="3" t="s">
        <v>1259</v>
      </c>
      <c r="B597" s="3" t="s">
        <v>1260</v>
      </c>
      <c r="C597" s="3" t="n">
        <v>222055</v>
      </c>
      <c r="D597" s="3" t="s">
        <v>1272</v>
      </c>
      <c r="E597" s="18" t="n">
        <v>45310</v>
      </c>
      <c r="F597" s="3" t="s">
        <v>1262</v>
      </c>
      <c r="G597" s="3" t="s">
        <v>5</v>
      </c>
      <c r="H597" s="19"/>
      <c r="I597" s="19"/>
      <c r="J597" s="20"/>
      <c r="K597" s="20"/>
      <c r="L597" s="19"/>
      <c r="M597" s="19"/>
      <c r="N597" s="19"/>
      <c r="O597" s="20"/>
      <c r="P597" s="20"/>
    </row>
    <row r="598" customFormat="false" ht="14.25" hidden="false" customHeight="true" outlineLevel="0" collapsed="false">
      <c r="A598" s="3" t="s">
        <v>1259</v>
      </c>
      <c r="B598" s="3" t="s">
        <v>1260</v>
      </c>
      <c r="C598" s="3" t="n">
        <v>222055</v>
      </c>
      <c r="D598" s="3" t="s">
        <v>1276</v>
      </c>
      <c r="E598" s="18" t="n">
        <v>45328</v>
      </c>
      <c r="F598" s="3" t="s">
        <v>1262</v>
      </c>
      <c r="G598" s="3" t="s">
        <v>5</v>
      </c>
      <c r="H598" s="19"/>
      <c r="I598" s="19"/>
      <c r="J598" s="20"/>
      <c r="K598" s="20"/>
      <c r="L598" s="19"/>
      <c r="M598" s="19"/>
      <c r="N598" s="19"/>
      <c r="O598" s="20"/>
      <c r="P598" s="20"/>
    </row>
    <row r="599" customFormat="false" ht="14.25" hidden="false" customHeight="true" outlineLevel="0" collapsed="false">
      <c r="A599" s="3" t="s">
        <v>1259</v>
      </c>
      <c r="B599" s="3" t="s">
        <v>1260</v>
      </c>
      <c r="C599" s="3" t="n">
        <v>222055</v>
      </c>
      <c r="D599" s="3" t="s">
        <v>1417</v>
      </c>
      <c r="E599" s="18" t="n">
        <v>45328</v>
      </c>
      <c r="F599" s="3" t="s">
        <v>1262</v>
      </c>
      <c r="G599" s="3" t="s">
        <v>1275</v>
      </c>
      <c r="H599" s="19"/>
      <c r="I599" s="19"/>
      <c r="J599" s="20"/>
      <c r="K599" s="20"/>
      <c r="L599" s="19"/>
      <c r="M599" s="19"/>
      <c r="N599" s="19"/>
      <c r="O599" s="20"/>
      <c r="P599" s="20"/>
    </row>
    <row r="600" customFormat="false" ht="14.25" hidden="false" customHeight="true" outlineLevel="0" collapsed="false">
      <c r="A600" s="3" t="s">
        <v>1259</v>
      </c>
      <c r="B600" s="3" t="s">
        <v>1260</v>
      </c>
      <c r="C600" s="3" t="n">
        <v>222055</v>
      </c>
      <c r="D600" s="3" t="s">
        <v>1278</v>
      </c>
      <c r="E600" s="18" t="n">
        <v>45349</v>
      </c>
      <c r="F600" s="3" t="s">
        <v>1262</v>
      </c>
      <c r="G600" s="3" t="s">
        <v>5</v>
      </c>
      <c r="H600" s="19"/>
      <c r="I600" s="19"/>
      <c r="J600" s="20"/>
      <c r="K600" s="20"/>
      <c r="L600" s="19"/>
      <c r="M600" s="19"/>
      <c r="N600" s="19"/>
      <c r="O600" s="20"/>
      <c r="P600" s="20"/>
    </row>
    <row r="601" customFormat="false" ht="14.25" hidden="false" customHeight="true" outlineLevel="0" collapsed="false">
      <c r="A601" s="3" t="s">
        <v>1259</v>
      </c>
      <c r="B601" s="3" t="s">
        <v>1260</v>
      </c>
      <c r="C601" s="3" t="n">
        <v>222055</v>
      </c>
      <c r="D601" s="3" t="s">
        <v>1281</v>
      </c>
      <c r="E601" s="18" t="n">
        <v>45370</v>
      </c>
      <c r="F601" s="3" t="s">
        <v>1262</v>
      </c>
      <c r="G601" s="3" t="s">
        <v>5</v>
      </c>
      <c r="H601" s="19"/>
      <c r="I601" s="19"/>
      <c r="J601" s="20"/>
      <c r="K601" s="20"/>
      <c r="L601" s="19"/>
      <c r="M601" s="19"/>
      <c r="N601" s="19"/>
      <c r="O601" s="20"/>
      <c r="P601" s="20"/>
    </row>
    <row r="602" customFormat="false" ht="14.25" hidden="false" customHeight="true" outlineLevel="0" collapsed="false">
      <c r="A602" s="3" t="s">
        <v>1259</v>
      </c>
      <c r="B602" s="3" t="s">
        <v>1260</v>
      </c>
      <c r="C602" s="3" t="n">
        <v>222055</v>
      </c>
      <c r="D602" s="3" t="s">
        <v>1306</v>
      </c>
      <c r="E602" s="18" t="n">
        <v>45370</v>
      </c>
      <c r="F602" s="3" t="s">
        <v>1262</v>
      </c>
      <c r="G602" s="3" t="s">
        <v>1275</v>
      </c>
      <c r="H602" s="19"/>
      <c r="I602" s="19"/>
      <c r="J602" s="20"/>
      <c r="K602" s="20"/>
      <c r="L602" s="19"/>
      <c r="M602" s="19"/>
      <c r="N602" s="19"/>
      <c r="O602" s="20"/>
      <c r="P602" s="20"/>
    </row>
    <row r="603" customFormat="false" ht="14.25" hidden="false" customHeight="true" outlineLevel="0" collapsed="false">
      <c r="A603" s="3" t="s">
        <v>1259</v>
      </c>
      <c r="B603" s="3" t="s">
        <v>1260</v>
      </c>
      <c r="C603" s="3" t="n">
        <v>222055</v>
      </c>
      <c r="D603" s="3" t="s">
        <v>1283</v>
      </c>
      <c r="E603" s="18" t="n">
        <v>45391</v>
      </c>
      <c r="F603" s="3" t="s">
        <v>1262</v>
      </c>
      <c r="G603" s="3" t="s">
        <v>5</v>
      </c>
      <c r="H603" s="19"/>
      <c r="I603" s="19"/>
      <c r="J603" s="20"/>
      <c r="K603" s="20"/>
      <c r="L603" s="19"/>
      <c r="M603" s="19"/>
      <c r="N603" s="19"/>
      <c r="O603" s="20"/>
      <c r="P603" s="20"/>
    </row>
    <row r="604" customFormat="false" ht="14.25" hidden="false" customHeight="true" outlineLevel="0" collapsed="false">
      <c r="A604" s="3" t="s">
        <v>1259</v>
      </c>
      <c r="B604" s="3" t="s">
        <v>1260</v>
      </c>
      <c r="C604" s="3" t="n">
        <v>222055</v>
      </c>
      <c r="D604" s="3" t="s">
        <v>1418</v>
      </c>
      <c r="E604" s="18" t="n">
        <v>45408</v>
      </c>
      <c r="F604" s="3" t="s">
        <v>1262</v>
      </c>
      <c r="G604" s="3" t="s">
        <v>1275</v>
      </c>
      <c r="H604" s="19"/>
      <c r="I604" s="19"/>
      <c r="J604" s="20"/>
      <c r="K604" s="20"/>
      <c r="L604" s="19"/>
      <c r="M604" s="19"/>
      <c r="N604" s="19"/>
      <c r="O604" s="20"/>
      <c r="P604" s="20"/>
    </row>
    <row r="605" customFormat="false" ht="14.25" hidden="false" customHeight="true" outlineLevel="0" collapsed="false">
      <c r="A605" s="3" t="s">
        <v>1259</v>
      </c>
      <c r="B605" s="3" t="s">
        <v>1260</v>
      </c>
      <c r="C605" s="3" t="n">
        <v>222055</v>
      </c>
      <c r="D605" s="3" t="s">
        <v>1286</v>
      </c>
      <c r="E605" s="18" t="n">
        <v>45412</v>
      </c>
      <c r="F605" s="3" t="s">
        <v>1262</v>
      </c>
      <c r="G605" s="3" t="s">
        <v>5</v>
      </c>
      <c r="H605" s="19"/>
      <c r="I605" s="19"/>
      <c r="J605" s="20"/>
      <c r="K605" s="20"/>
      <c r="L605" s="19"/>
      <c r="M605" s="19"/>
      <c r="N605" s="19"/>
      <c r="O605" s="20"/>
      <c r="P605" s="20"/>
    </row>
    <row r="606" customFormat="false" ht="14.25" hidden="false" customHeight="true" outlineLevel="0" collapsed="false">
      <c r="A606" s="3" t="s">
        <v>1259</v>
      </c>
      <c r="B606" s="3" t="s">
        <v>1260</v>
      </c>
      <c r="C606" s="3" t="n">
        <v>222059</v>
      </c>
      <c r="D606" s="3" t="s">
        <v>1261</v>
      </c>
      <c r="E606" s="18" t="n">
        <v>45278</v>
      </c>
      <c r="F606" s="3" t="s">
        <v>1262</v>
      </c>
      <c r="G606" s="3" t="s">
        <v>5</v>
      </c>
      <c r="H606" s="19" t="n">
        <v>45278</v>
      </c>
      <c r="I606" s="19" t="n">
        <v>45054</v>
      </c>
      <c r="J606" s="20" t="n">
        <v>67</v>
      </c>
      <c r="K606" s="20" t="s">
        <v>1313</v>
      </c>
      <c r="L606" s="19" t="s">
        <v>12</v>
      </c>
      <c r="M606" s="19"/>
      <c r="N606" s="19"/>
      <c r="O606" s="20"/>
      <c r="P606" s="20"/>
    </row>
    <row r="607" customFormat="false" ht="14.25" hidden="false" customHeight="true" outlineLevel="0" collapsed="false">
      <c r="A607" s="3" t="s">
        <v>1259</v>
      </c>
      <c r="B607" s="3" t="s">
        <v>1260</v>
      </c>
      <c r="C607" s="3" t="n">
        <v>222059</v>
      </c>
      <c r="D607" s="3" t="s">
        <v>1264</v>
      </c>
      <c r="E607" s="18" t="n">
        <v>45287</v>
      </c>
      <c r="F607" s="3" t="s">
        <v>1262</v>
      </c>
      <c r="G607" s="3" t="s">
        <v>5</v>
      </c>
      <c r="H607" s="19"/>
      <c r="I607" s="19"/>
      <c r="J607" s="20"/>
      <c r="K607" s="20"/>
      <c r="L607" s="19"/>
      <c r="M607" s="19"/>
      <c r="N607" s="19"/>
      <c r="O607" s="20"/>
      <c r="P607" s="20"/>
    </row>
    <row r="608" customFormat="false" ht="14.25" hidden="false" customHeight="true" outlineLevel="0" collapsed="false">
      <c r="A608" s="3" t="s">
        <v>1259</v>
      </c>
      <c r="B608" s="3" t="s">
        <v>1260</v>
      </c>
      <c r="C608" s="3" t="n">
        <v>222059</v>
      </c>
      <c r="D608" s="3" t="s">
        <v>1265</v>
      </c>
      <c r="E608" s="18" t="n">
        <v>45289</v>
      </c>
      <c r="F608" s="3" t="s">
        <v>1262</v>
      </c>
      <c r="G608" s="3" t="s">
        <v>5</v>
      </c>
      <c r="H608" s="19"/>
      <c r="I608" s="19"/>
      <c r="J608" s="20"/>
      <c r="K608" s="20"/>
      <c r="L608" s="19"/>
      <c r="M608" s="19"/>
      <c r="N608" s="19"/>
      <c r="O608" s="20"/>
      <c r="P608" s="20"/>
    </row>
    <row r="609" customFormat="false" ht="14.25" hidden="false" customHeight="true" outlineLevel="0" collapsed="false">
      <c r="A609" s="3" t="s">
        <v>1259</v>
      </c>
      <c r="B609" s="3" t="s">
        <v>1260</v>
      </c>
      <c r="C609" s="3" t="n">
        <v>222059</v>
      </c>
      <c r="D609" s="3" t="s">
        <v>1266</v>
      </c>
      <c r="E609" s="18" t="n">
        <v>45294</v>
      </c>
      <c r="F609" s="3" t="s">
        <v>1262</v>
      </c>
      <c r="G609" s="3" t="s">
        <v>5</v>
      </c>
      <c r="H609" s="19"/>
      <c r="I609" s="19"/>
      <c r="J609" s="20"/>
      <c r="K609" s="20"/>
      <c r="L609" s="19"/>
      <c r="M609" s="19"/>
      <c r="N609" s="19"/>
      <c r="O609" s="20"/>
      <c r="P609" s="20"/>
    </row>
    <row r="610" customFormat="false" ht="14.25" hidden="false" customHeight="true" outlineLevel="0" collapsed="false">
      <c r="A610" s="3" t="s">
        <v>1259</v>
      </c>
      <c r="B610" s="3" t="s">
        <v>1260</v>
      </c>
      <c r="C610" s="3" t="n">
        <v>222059</v>
      </c>
      <c r="D610" s="3" t="s">
        <v>1269</v>
      </c>
      <c r="E610" s="18" t="n">
        <v>45301</v>
      </c>
      <c r="F610" s="3" t="s">
        <v>1262</v>
      </c>
      <c r="G610" s="3" t="s">
        <v>5</v>
      </c>
      <c r="H610" s="19"/>
      <c r="I610" s="19"/>
      <c r="J610" s="20"/>
      <c r="K610" s="20"/>
      <c r="L610" s="19"/>
      <c r="M610" s="19"/>
      <c r="N610" s="19"/>
      <c r="O610" s="20"/>
      <c r="P610" s="20"/>
    </row>
    <row r="611" customFormat="false" ht="14.25" hidden="false" customHeight="true" outlineLevel="0" collapsed="false">
      <c r="A611" s="3" t="s">
        <v>1259</v>
      </c>
      <c r="B611" s="3" t="s">
        <v>1260</v>
      </c>
      <c r="C611" s="3" t="n">
        <v>222059</v>
      </c>
      <c r="D611" s="3" t="s">
        <v>1271</v>
      </c>
      <c r="E611" s="18" t="n">
        <v>45308</v>
      </c>
      <c r="F611" s="3" t="s">
        <v>1262</v>
      </c>
      <c r="G611" s="3" t="s">
        <v>5</v>
      </c>
      <c r="H611" s="19"/>
      <c r="I611" s="19"/>
      <c r="J611" s="20"/>
      <c r="K611" s="20"/>
      <c r="L611" s="19"/>
      <c r="M611" s="19"/>
      <c r="N611" s="19"/>
      <c r="O611" s="20"/>
      <c r="P611" s="20"/>
    </row>
    <row r="612" customFormat="false" ht="14.25" hidden="false" customHeight="true" outlineLevel="0" collapsed="false">
      <c r="A612" s="3" t="s">
        <v>1259</v>
      </c>
      <c r="B612" s="3" t="s">
        <v>1260</v>
      </c>
      <c r="C612" s="3" t="n">
        <v>222059</v>
      </c>
      <c r="D612" s="3" t="s">
        <v>1272</v>
      </c>
      <c r="E612" s="18" t="n">
        <v>45310</v>
      </c>
      <c r="F612" s="3" t="s">
        <v>1262</v>
      </c>
      <c r="G612" s="3" t="s">
        <v>5</v>
      </c>
      <c r="H612" s="19"/>
      <c r="I612" s="19"/>
      <c r="J612" s="20"/>
      <c r="K612" s="20"/>
      <c r="L612" s="19"/>
      <c r="M612" s="19"/>
      <c r="N612" s="19"/>
      <c r="O612" s="20"/>
      <c r="P612" s="20"/>
    </row>
    <row r="613" customFormat="false" ht="14.25" hidden="false" customHeight="true" outlineLevel="0" collapsed="false">
      <c r="A613" s="3" t="s">
        <v>1259</v>
      </c>
      <c r="B613" s="3" t="s">
        <v>1260</v>
      </c>
      <c r="C613" s="3" t="n">
        <v>222059</v>
      </c>
      <c r="D613" s="3" t="s">
        <v>1419</v>
      </c>
      <c r="E613" s="18" t="n">
        <v>45315</v>
      </c>
      <c r="F613" s="3" t="s">
        <v>1262</v>
      </c>
      <c r="G613" s="3" t="s">
        <v>1268</v>
      </c>
      <c r="H613" s="19"/>
      <c r="I613" s="19"/>
      <c r="J613" s="20"/>
      <c r="K613" s="20"/>
      <c r="L613" s="19"/>
      <c r="M613" s="19"/>
      <c r="N613" s="19"/>
      <c r="O613" s="20"/>
      <c r="P613" s="20"/>
    </row>
    <row r="614" customFormat="false" ht="14.25" hidden="false" customHeight="true" outlineLevel="0" collapsed="false">
      <c r="A614" s="3" t="s">
        <v>1259</v>
      </c>
      <c r="B614" s="3" t="s">
        <v>1260</v>
      </c>
      <c r="C614" s="3" t="n">
        <v>222059</v>
      </c>
      <c r="D614" s="3" t="s">
        <v>1276</v>
      </c>
      <c r="E614" s="18" t="n">
        <v>45329</v>
      </c>
      <c r="F614" s="3" t="s">
        <v>1262</v>
      </c>
      <c r="G614" s="3" t="s">
        <v>5</v>
      </c>
      <c r="H614" s="19"/>
      <c r="I614" s="19"/>
      <c r="J614" s="20"/>
      <c r="K614" s="20"/>
      <c r="L614" s="19"/>
      <c r="M614" s="19"/>
      <c r="N614" s="19"/>
      <c r="O614" s="20"/>
      <c r="P614" s="20"/>
    </row>
    <row r="615" customFormat="false" ht="14.25" hidden="false" customHeight="true" outlineLevel="0" collapsed="false">
      <c r="A615" s="3" t="s">
        <v>1259</v>
      </c>
      <c r="B615" s="3" t="s">
        <v>1260</v>
      </c>
      <c r="C615" s="3" t="n">
        <v>222059</v>
      </c>
      <c r="D615" s="3" t="s">
        <v>1411</v>
      </c>
      <c r="E615" s="18" t="n">
        <v>45329</v>
      </c>
      <c r="F615" s="3" t="s">
        <v>1262</v>
      </c>
      <c r="G615" s="3" t="s">
        <v>1275</v>
      </c>
      <c r="H615" s="19"/>
      <c r="I615" s="19"/>
      <c r="J615" s="20"/>
      <c r="K615" s="20"/>
      <c r="L615" s="19"/>
      <c r="M615" s="19"/>
      <c r="N615" s="19"/>
      <c r="O615" s="20"/>
      <c r="P615" s="20"/>
    </row>
    <row r="616" customFormat="false" ht="14.25" hidden="false" customHeight="true" outlineLevel="0" collapsed="false">
      <c r="A616" s="3" t="s">
        <v>1259</v>
      </c>
      <c r="B616" s="3" t="s">
        <v>1260</v>
      </c>
      <c r="C616" s="3" t="n">
        <v>222059</v>
      </c>
      <c r="D616" s="3" t="s">
        <v>1420</v>
      </c>
      <c r="E616" s="18" t="n">
        <v>45351</v>
      </c>
      <c r="F616" s="3" t="s">
        <v>1262</v>
      </c>
      <c r="G616" s="3" t="s">
        <v>1268</v>
      </c>
      <c r="H616" s="19"/>
      <c r="I616" s="19"/>
      <c r="J616" s="20"/>
      <c r="K616" s="20"/>
      <c r="L616" s="19"/>
      <c r="M616" s="19"/>
      <c r="N616" s="19"/>
      <c r="O616" s="20"/>
      <c r="P616" s="20"/>
    </row>
    <row r="617" customFormat="false" ht="14.25" hidden="false" customHeight="true" outlineLevel="0" collapsed="false">
      <c r="A617" s="3" t="s">
        <v>1259</v>
      </c>
      <c r="B617" s="3" t="s">
        <v>1260</v>
      </c>
      <c r="C617" s="3" t="n">
        <v>222059</v>
      </c>
      <c r="D617" s="3" t="s">
        <v>1278</v>
      </c>
      <c r="E617" s="18" t="n">
        <v>45357</v>
      </c>
      <c r="F617" s="3" t="s">
        <v>1262</v>
      </c>
      <c r="G617" s="3" t="s">
        <v>5</v>
      </c>
      <c r="H617" s="19"/>
      <c r="I617" s="19"/>
      <c r="J617" s="20"/>
      <c r="K617" s="20"/>
      <c r="L617" s="19"/>
      <c r="M617" s="19"/>
      <c r="N617" s="19"/>
      <c r="O617" s="20"/>
      <c r="P617" s="20"/>
    </row>
    <row r="618" customFormat="false" ht="14.25" hidden="false" customHeight="true" outlineLevel="0" collapsed="false">
      <c r="A618" s="3" t="s">
        <v>1259</v>
      </c>
      <c r="B618" s="3" t="s">
        <v>1260</v>
      </c>
      <c r="C618" s="3" t="n">
        <v>222059</v>
      </c>
      <c r="D618" s="3" t="s">
        <v>1281</v>
      </c>
      <c r="E618" s="18" t="n">
        <v>45376</v>
      </c>
      <c r="F618" s="3" t="s">
        <v>1262</v>
      </c>
      <c r="G618" s="3" t="s">
        <v>5</v>
      </c>
      <c r="H618" s="19"/>
      <c r="I618" s="19"/>
      <c r="J618" s="20"/>
      <c r="K618" s="20"/>
      <c r="L618" s="19"/>
      <c r="M618" s="19"/>
      <c r="N618" s="19"/>
      <c r="O618" s="20"/>
      <c r="P618" s="20"/>
    </row>
    <row r="619" customFormat="false" ht="14.25" hidden="false" customHeight="true" outlineLevel="0" collapsed="false">
      <c r="A619" s="3" t="s">
        <v>1259</v>
      </c>
      <c r="B619" s="3" t="s">
        <v>1260</v>
      </c>
      <c r="C619" s="3" t="n">
        <v>222059</v>
      </c>
      <c r="D619" s="3" t="s">
        <v>1421</v>
      </c>
      <c r="E619" s="18" t="n">
        <v>45376</v>
      </c>
      <c r="F619" s="3" t="s">
        <v>1262</v>
      </c>
      <c r="G619" s="3" t="s">
        <v>1275</v>
      </c>
      <c r="H619" s="19"/>
      <c r="I619" s="19"/>
      <c r="J619" s="20"/>
      <c r="K619" s="20"/>
      <c r="L619" s="19"/>
      <c r="M619" s="19"/>
      <c r="N619" s="19"/>
      <c r="O619" s="20"/>
      <c r="P619" s="20"/>
    </row>
    <row r="620" customFormat="false" ht="14.25" hidden="false" customHeight="true" outlineLevel="0" collapsed="false">
      <c r="A620" s="3" t="s">
        <v>1259</v>
      </c>
      <c r="B620" s="3" t="s">
        <v>1260</v>
      </c>
      <c r="C620" s="3" t="n">
        <v>222059</v>
      </c>
      <c r="D620" s="3" t="s">
        <v>1283</v>
      </c>
      <c r="E620" s="18" t="n">
        <v>45393</v>
      </c>
      <c r="F620" s="3" t="s">
        <v>1262</v>
      </c>
      <c r="G620" s="3" t="s">
        <v>5</v>
      </c>
      <c r="H620" s="19"/>
      <c r="I620" s="19"/>
      <c r="J620" s="20"/>
      <c r="K620" s="20"/>
      <c r="L620" s="19"/>
      <c r="M620" s="19"/>
      <c r="N620" s="19"/>
      <c r="O620" s="20"/>
      <c r="P620" s="20"/>
    </row>
    <row r="621" customFormat="false" ht="14.25" hidden="false" customHeight="true" outlineLevel="0" collapsed="false">
      <c r="A621" s="3" t="s">
        <v>1259</v>
      </c>
      <c r="B621" s="3" t="s">
        <v>1260</v>
      </c>
      <c r="C621" s="3" t="n">
        <v>222059</v>
      </c>
      <c r="D621" s="3" t="s">
        <v>1286</v>
      </c>
      <c r="E621" s="18" t="n">
        <v>45414</v>
      </c>
      <c r="F621" s="3" t="s">
        <v>1262</v>
      </c>
      <c r="G621" s="3" t="s">
        <v>5</v>
      </c>
      <c r="H621" s="19"/>
      <c r="I621" s="19"/>
      <c r="J621" s="20"/>
      <c r="K621" s="20"/>
      <c r="L621" s="19"/>
      <c r="M621" s="19"/>
      <c r="N621" s="19"/>
      <c r="O621" s="20"/>
      <c r="P621" s="20"/>
    </row>
    <row r="622" customFormat="false" ht="14.25" hidden="false" customHeight="true" outlineLevel="0" collapsed="false">
      <c r="A622" s="3" t="s">
        <v>1259</v>
      </c>
      <c r="B622" s="3" t="s">
        <v>1260</v>
      </c>
      <c r="C622" s="3" t="n">
        <v>222059</v>
      </c>
      <c r="D622" s="3" t="s">
        <v>1393</v>
      </c>
      <c r="E622" s="18" t="n">
        <v>45414</v>
      </c>
      <c r="F622" s="3" t="s">
        <v>1262</v>
      </c>
      <c r="G622" s="3" t="s">
        <v>1275</v>
      </c>
      <c r="H622" s="19"/>
      <c r="I622" s="19"/>
      <c r="J622" s="20"/>
      <c r="K622" s="20"/>
      <c r="L622" s="19"/>
      <c r="M622" s="19"/>
      <c r="N622" s="19"/>
      <c r="O622" s="20"/>
      <c r="P622" s="20"/>
    </row>
    <row r="623" customFormat="false" ht="14.25" hidden="false" customHeight="true" outlineLevel="0" collapsed="false">
      <c r="A623" s="3" t="s">
        <v>1259</v>
      </c>
      <c r="B623" s="3" t="s">
        <v>1260</v>
      </c>
      <c r="C623" s="3" t="n">
        <v>223033</v>
      </c>
      <c r="D623" s="3" t="s">
        <v>1261</v>
      </c>
      <c r="E623" s="18" t="n">
        <v>45168</v>
      </c>
      <c r="F623" s="3" t="s">
        <v>1262</v>
      </c>
      <c r="G623" s="3" t="s">
        <v>5</v>
      </c>
      <c r="H623" s="19" t="n">
        <v>45168</v>
      </c>
      <c r="I623" s="19" t="n">
        <v>45054</v>
      </c>
      <c r="J623" s="20" t="n">
        <v>32</v>
      </c>
      <c r="K623" s="20" t="s">
        <v>1313</v>
      </c>
      <c r="L623" s="19" t="s">
        <v>12</v>
      </c>
      <c r="M623" s="19"/>
      <c r="N623" s="19"/>
      <c r="O623" s="20"/>
      <c r="P623" s="20"/>
    </row>
    <row r="624" customFormat="false" ht="14.25" hidden="false" customHeight="true" outlineLevel="0" collapsed="false">
      <c r="A624" s="3" t="s">
        <v>1259</v>
      </c>
      <c r="B624" s="3" t="s">
        <v>1260</v>
      </c>
      <c r="C624" s="3" t="n">
        <v>223033</v>
      </c>
      <c r="D624" s="3" t="s">
        <v>1264</v>
      </c>
      <c r="E624" s="18" t="n">
        <v>45189</v>
      </c>
      <c r="F624" s="3" t="s">
        <v>1262</v>
      </c>
      <c r="G624" s="3" t="s">
        <v>5</v>
      </c>
      <c r="H624" s="19"/>
      <c r="I624" s="19"/>
      <c r="J624" s="20"/>
      <c r="K624" s="20"/>
      <c r="L624" s="19"/>
      <c r="M624" s="19"/>
      <c r="N624" s="19"/>
      <c r="O624" s="20"/>
      <c r="P624" s="20"/>
    </row>
    <row r="625" customFormat="false" ht="14.25" hidden="false" customHeight="true" outlineLevel="0" collapsed="false">
      <c r="A625" s="3" t="s">
        <v>1259</v>
      </c>
      <c r="B625" s="3" t="s">
        <v>1260</v>
      </c>
      <c r="C625" s="3" t="n">
        <v>223033</v>
      </c>
      <c r="D625" s="3" t="s">
        <v>1265</v>
      </c>
      <c r="E625" s="18" t="n">
        <v>45191</v>
      </c>
      <c r="F625" s="3" t="s">
        <v>1262</v>
      </c>
      <c r="G625" s="3" t="s">
        <v>5</v>
      </c>
      <c r="H625" s="19"/>
      <c r="I625" s="19"/>
      <c r="J625" s="20"/>
      <c r="K625" s="20"/>
      <c r="L625" s="19"/>
      <c r="M625" s="19"/>
      <c r="N625" s="19"/>
      <c r="O625" s="20"/>
      <c r="P625" s="20"/>
    </row>
    <row r="626" customFormat="false" ht="14.25" hidden="false" customHeight="true" outlineLevel="0" collapsed="false">
      <c r="A626" s="3" t="s">
        <v>1259</v>
      </c>
      <c r="B626" s="3" t="s">
        <v>1260</v>
      </c>
      <c r="C626" s="3" t="n">
        <v>223033</v>
      </c>
      <c r="D626" s="3" t="s">
        <v>1266</v>
      </c>
      <c r="E626" s="18" t="n">
        <v>45196</v>
      </c>
      <c r="F626" s="3" t="s">
        <v>1262</v>
      </c>
      <c r="G626" s="3" t="s">
        <v>5</v>
      </c>
      <c r="H626" s="19"/>
      <c r="I626" s="19"/>
      <c r="J626" s="20"/>
      <c r="K626" s="20"/>
      <c r="L626" s="19"/>
      <c r="M626" s="19"/>
      <c r="N626" s="19"/>
      <c r="O626" s="20"/>
      <c r="P626" s="20"/>
    </row>
    <row r="627" customFormat="false" ht="14.25" hidden="false" customHeight="true" outlineLevel="0" collapsed="false">
      <c r="A627" s="3" t="s">
        <v>1259</v>
      </c>
      <c r="B627" s="3" t="s">
        <v>1260</v>
      </c>
      <c r="C627" s="3" t="n">
        <v>223033</v>
      </c>
      <c r="D627" s="3" t="s">
        <v>1269</v>
      </c>
      <c r="E627" s="18" t="n">
        <v>45204</v>
      </c>
      <c r="F627" s="3" t="s">
        <v>1262</v>
      </c>
      <c r="G627" s="3" t="s">
        <v>5</v>
      </c>
      <c r="H627" s="19"/>
      <c r="I627" s="19"/>
      <c r="J627" s="20"/>
      <c r="K627" s="20"/>
      <c r="L627" s="19"/>
      <c r="M627" s="19"/>
      <c r="N627" s="19"/>
      <c r="O627" s="20"/>
      <c r="P627" s="20"/>
    </row>
    <row r="628" customFormat="false" ht="14.25" hidden="false" customHeight="true" outlineLevel="0" collapsed="false">
      <c r="A628" s="3" t="s">
        <v>1259</v>
      </c>
      <c r="B628" s="3" t="s">
        <v>1260</v>
      </c>
      <c r="C628" s="3" t="n">
        <v>223033</v>
      </c>
      <c r="D628" s="3" t="s">
        <v>1271</v>
      </c>
      <c r="E628" s="18" t="n">
        <v>45210</v>
      </c>
      <c r="F628" s="3" t="s">
        <v>1262</v>
      </c>
      <c r="G628" s="3" t="s">
        <v>5</v>
      </c>
      <c r="H628" s="19"/>
      <c r="I628" s="19"/>
      <c r="J628" s="20"/>
      <c r="K628" s="20"/>
      <c r="L628" s="19"/>
      <c r="M628" s="19"/>
      <c r="N628" s="19"/>
      <c r="O628" s="20"/>
      <c r="P628" s="20"/>
    </row>
    <row r="629" customFormat="false" ht="14.25" hidden="false" customHeight="true" outlineLevel="0" collapsed="false">
      <c r="A629" s="3" t="s">
        <v>1259</v>
      </c>
      <c r="B629" s="3" t="s">
        <v>1260</v>
      </c>
      <c r="C629" s="3" t="n">
        <v>223033</v>
      </c>
      <c r="D629" s="3" t="s">
        <v>1272</v>
      </c>
      <c r="E629" s="18" t="n">
        <v>45212</v>
      </c>
      <c r="F629" s="3" t="s">
        <v>1262</v>
      </c>
      <c r="G629" s="3" t="s">
        <v>5</v>
      </c>
      <c r="H629" s="19"/>
      <c r="I629" s="19"/>
      <c r="J629" s="20"/>
      <c r="K629" s="20"/>
      <c r="L629" s="19"/>
      <c r="M629" s="19"/>
      <c r="N629" s="19"/>
      <c r="O629" s="20"/>
      <c r="P629" s="20"/>
    </row>
    <row r="630" customFormat="false" ht="14.25" hidden="false" customHeight="true" outlineLevel="0" collapsed="false">
      <c r="A630" s="3" t="s">
        <v>1259</v>
      </c>
      <c r="B630" s="3" t="s">
        <v>1260</v>
      </c>
      <c r="C630" s="3" t="n">
        <v>223033</v>
      </c>
      <c r="D630" s="3" t="s">
        <v>1276</v>
      </c>
      <c r="E630" s="18" t="n">
        <v>45232</v>
      </c>
      <c r="F630" s="3" t="s">
        <v>1262</v>
      </c>
      <c r="G630" s="3" t="s">
        <v>5</v>
      </c>
      <c r="H630" s="19"/>
      <c r="I630" s="19"/>
      <c r="J630" s="20"/>
      <c r="K630" s="20"/>
      <c r="L630" s="19"/>
      <c r="M630" s="19"/>
      <c r="N630" s="19"/>
      <c r="O630" s="20"/>
      <c r="P630" s="20"/>
    </row>
    <row r="631" customFormat="false" ht="14.25" hidden="false" customHeight="true" outlineLevel="0" collapsed="false">
      <c r="A631" s="3" t="s">
        <v>1259</v>
      </c>
      <c r="B631" s="3" t="s">
        <v>1260</v>
      </c>
      <c r="C631" s="3" t="n">
        <v>223033</v>
      </c>
      <c r="D631" s="3" t="s">
        <v>1422</v>
      </c>
      <c r="E631" s="18" t="n">
        <v>45232</v>
      </c>
      <c r="F631" s="3" t="s">
        <v>1262</v>
      </c>
      <c r="G631" s="3" t="s">
        <v>1275</v>
      </c>
      <c r="H631" s="19"/>
      <c r="I631" s="19"/>
      <c r="J631" s="20"/>
      <c r="K631" s="20"/>
      <c r="L631" s="19"/>
      <c r="M631" s="19"/>
      <c r="N631" s="19"/>
      <c r="O631" s="20"/>
      <c r="P631" s="20"/>
    </row>
    <row r="632" customFormat="false" ht="14.25" hidden="false" customHeight="true" outlineLevel="0" collapsed="false">
      <c r="A632" s="3" t="s">
        <v>1259</v>
      </c>
      <c r="B632" s="3" t="s">
        <v>1260</v>
      </c>
      <c r="C632" s="3" t="n">
        <v>223033</v>
      </c>
      <c r="D632" s="3" t="s">
        <v>1278</v>
      </c>
      <c r="E632" s="18" t="n">
        <v>45253</v>
      </c>
      <c r="F632" s="3" t="s">
        <v>1262</v>
      </c>
      <c r="G632" s="3" t="s">
        <v>5</v>
      </c>
      <c r="H632" s="19"/>
      <c r="I632" s="19"/>
      <c r="J632" s="20"/>
      <c r="K632" s="20"/>
      <c r="L632" s="19"/>
      <c r="M632" s="19"/>
      <c r="N632" s="19"/>
      <c r="O632" s="20"/>
      <c r="P632" s="20"/>
    </row>
    <row r="633" customFormat="false" ht="14.25" hidden="false" customHeight="true" outlineLevel="0" collapsed="false">
      <c r="A633" s="3" t="s">
        <v>1259</v>
      </c>
      <c r="B633" s="3" t="s">
        <v>1260</v>
      </c>
      <c r="C633" s="3" t="n">
        <v>223033</v>
      </c>
      <c r="D633" s="3" t="s">
        <v>1281</v>
      </c>
      <c r="E633" s="18" t="n">
        <v>45274</v>
      </c>
      <c r="F633" s="3" t="s">
        <v>1262</v>
      </c>
      <c r="G633" s="3" t="s">
        <v>5</v>
      </c>
      <c r="H633" s="19"/>
      <c r="I633" s="19"/>
      <c r="J633" s="20"/>
      <c r="K633" s="20"/>
      <c r="L633" s="19"/>
      <c r="M633" s="19"/>
      <c r="N633" s="19"/>
      <c r="O633" s="20"/>
      <c r="P633" s="20"/>
    </row>
    <row r="634" customFormat="false" ht="14.25" hidden="false" customHeight="true" outlineLevel="0" collapsed="false">
      <c r="A634" s="3" t="s">
        <v>1259</v>
      </c>
      <c r="B634" s="3" t="s">
        <v>1260</v>
      </c>
      <c r="C634" s="3" t="n">
        <v>223033</v>
      </c>
      <c r="D634" s="3" t="s">
        <v>1423</v>
      </c>
      <c r="E634" s="18" t="n">
        <v>45274</v>
      </c>
      <c r="F634" s="3" t="s">
        <v>1262</v>
      </c>
      <c r="G634" s="3" t="s">
        <v>1275</v>
      </c>
      <c r="H634" s="19"/>
      <c r="I634" s="19"/>
      <c r="J634" s="20"/>
      <c r="K634" s="20"/>
      <c r="L634" s="19"/>
      <c r="M634" s="19"/>
      <c r="N634" s="19"/>
      <c r="O634" s="20"/>
      <c r="P634" s="20"/>
    </row>
    <row r="635" customFormat="false" ht="14.25" hidden="false" customHeight="true" outlineLevel="0" collapsed="false">
      <c r="A635" s="3" t="s">
        <v>1259</v>
      </c>
      <c r="B635" s="3" t="s">
        <v>1260</v>
      </c>
      <c r="C635" s="3" t="n">
        <v>223033</v>
      </c>
      <c r="D635" s="3" t="s">
        <v>1283</v>
      </c>
      <c r="E635" s="18" t="n">
        <v>45295</v>
      </c>
      <c r="F635" s="3" t="s">
        <v>1262</v>
      </c>
      <c r="G635" s="3" t="s">
        <v>5</v>
      </c>
      <c r="H635" s="19"/>
      <c r="I635" s="19"/>
      <c r="J635" s="20"/>
      <c r="K635" s="20"/>
      <c r="L635" s="19"/>
      <c r="M635" s="19"/>
      <c r="N635" s="19"/>
      <c r="O635" s="20"/>
      <c r="P635" s="20"/>
    </row>
    <row r="636" customFormat="false" ht="14.25" hidden="false" customHeight="true" outlineLevel="0" collapsed="false">
      <c r="A636" s="3" t="s">
        <v>1259</v>
      </c>
      <c r="B636" s="3" t="s">
        <v>1260</v>
      </c>
      <c r="C636" s="3" t="n">
        <v>223033</v>
      </c>
      <c r="D636" s="3" t="s">
        <v>1286</v>
      </c>
      <c r="E636" s="18" t="n">
        <v>45316</v>
      </c>
      <c r="F636" s="3" t="s">
        <v>1262</v>
      </c>
      <c r="G636" s="3" t="s">
        <v>5</v>
      </c>
      <c r="H636" s="19"/>
      <c r="I636" s="19"/>
      <c r="J636" s="20"/>
      <c r="K636" s="20"/>
      <c r="L636" s="19"/>
      <c r="M636" s="19"/>
      <c r="N636" s="19"/>
      <c r="O636" s="20"/>
      <c r="P636" s="20"/>
    </row>
    <row r="637" customFormat="false" ht="14.25" hidden="false" customHeight="true" outlineLevel="0" collapsed="false">
      <c r="A637" s="3" t="s">
        <v>1259</v>
      </c>
      <c r="B637" s="3" t="s">
        <v>1260</v>
      </c>
      <c r="C637" s="3" t="n">
        <v>223033</v>
      </c>
      <c r="D637" s="3" t="s">
        <v>1321</v>
      </c>
      <c r="E637" s="18" t="n">
        <v>45316</v>
      </c>
      <c r="F637" s="3" t="s">
        <v>1262</v>
      </c>
      <c r="G637" s="3" t="s">
        <v>1275</v>
      </c>
      <c r="H637" s="19"/>
      <c r="I637" s="19"/>
      <c r="J637" s="20"/>
      <c r="K637" s="20"/>
      <c r="L637" s="19"/>
      <c r="M637" s="19"/>
      <c r="N637" s="19"/>
      <c r="O637" s="20"/>
      <c r="P637" s="20"/>
    </row>
    <row r="638" customFormat="false" ht="14.25" hidden="false" customHeight="true" outlineLevel="0" collapsed="false">
      <c r="A638" s="3" t="s">
        <v>1259</v>
      </c>
      <c r="B638" s="3" t="s">
        <v>1260</v>
      </c>
      <c r="C638" s="3" t="n">
        <v>223033</v>
      </c>
      <c r="D638" s="3" t="s">
        <v>1288</v>
      </c>
      <c r="E638" s="18" t="n">
        <v>45337</v>
      </c>
      <c r="F638" s="3" t="s">
        <v>1262</v>
      </c>
      <c r="G638" s="3" t="s">
        <v>5</v>
      </c>
      <c r="H638" s="19"/>
      <c r="I638" s="19"/>
      <c r="J638" s="20"/>
      <c r="K638" s="20"/>
      <c r="L638" s="19"/>
      <c r="M638" s="19"/>
      <c r="N638" s="19"/>
      <c r="O638" s="20"/>
      <c r="P638" s="20"/>
    </row>
    <row r="639" customFormat="false" ht="14.25" hidden="false" customHeight="true" outlineLevel="0" collapsed="false">
      <c r="A639" s="3" t="s">
        <v>1259</v>
      </c>
      <c r="B639" s="3" t="s">
        <v>1260</v>
      </c>
      <c r="C639" s="3" t="n">
        <v>223033</v>
      </c>
      <c r="D639" s="3" t="s">
        <v>1290</v>
      </c>
      <c r="E639" s="18" t="n">
        <v>45358</v>
      </c>
      <c r="F639" s="3" t="s">
        <v>1262</v>
      </c>
      <c r="G639" s="3" t="s">
        <v>5</v>
      </c>
      <c r="H639" s="19"/>
      <c r="I639" s="19"/>
      <c r="J639" s="20"/>
      <c r="K639" s="20"/>
      <c r="L639" s="19"/>
      <c r="M639" s="19"/>
      <c r="N639" s="19"/>
      <c r="O639" s="20"/>
      <c r="P639" s="20"/>
    </row>
    <row r="640" customFormat="false" ht="14.25" hidden="false" customHeight="true" outlineLevel="0" collapsed="false">
      <c r="A640" s="3" t="s">
        <v>1259</v>
      </c>
      <c r="B640" s="3" t="s">
        <v>1260</v>
      </c>
      <c r="C640" s="3" t="n">
        <v>223033</v>
      </c>
      <c r="D640" s="3" t="s">
        <v>1392</v>
      </c>
      <c r="E640" s="18" t="n">
        <v>45358</v>
      </c>
      <c r="F640" s="3" t="s">
        <v>1262</v>
      </c>
      <c r="G640" s="3" t="s">
        <v>1275</v>
      </c>
      <c r="H640" s="19"/>
      <c r="I640" s="19"/>
      <c r="J640" s="20"/>
      <c r="K640" s="20"/>
      <c r="L640" s="19"/>
      <c r="M640" s="19"/>
      <c r="N640" s="19"/>
      <c r="O640" s="20"/>
      <c r="P640" s="20"/>
    </row>
    <row r="641" customFormat="false" ht="14.25" hidden="false" customHeight="true" outlineLevel="0" collapsed="false">
      <c r="A641" s="3" t="s">
        <v>1259</v>
      </c>
      <c r="B641" s="3" t="s">
        <v>1260</v>
      </c>
      <c r="C641" s="3" t="n">
        <v>223033</v>
      </c>
      <c r="D641" s="3" t="s">
        <v>1293</v>
      </c>
      <c r="E641" s="18" t="n">
        <v>45379</v>
      </c>
      <c r="F641" s="3" t="s">
        <v>1262</v>
      </c>
      <c r="G641" s="3" t="s">
        <v>5</v>
      </c>
      <c r="H641" s="19"/>
      <c r="I641" s="19"/>
      <c r="J641" s="20"/>
      <c r="K641" s="20"/>
      <c r="L641" s="19"/>
      <c r="M641" s="19"/>
      <c r="N641" s="19"/>
      <c r="O641" s="20"/>
      <c r="P641" s="20"/>
    </row>
    <row r="642" customFormat="false" ht="14.25" hidden="false" customHeight="true" outlineLevel="0" collapsed="false">
      <c r="A642" s="3" t="s">
        <v>1259</v>
      </c>
      <c r="B642" s="3" t="s">
        <v>1260</v>
      </c>
      <c r="C642" s="3" t="n">
        <v>223033</v>
      </c>
      <c r="D642" s="3" t="s">
        <v>1295</v>
      </c>
      <c r="E642" s="18" t="n">
        <v>45400</v>
      </c>
      <c r="F642" s="3" t="s">
        <v>1262</v>
      </c>
      <c r="G642" s="3" t="s">
        <v>5</v>
      </c>
      <c r="H642" s="19"/>
      <c r="I642" s="19"/>
      <c r="J642" s="20"/>
      <c r="K642" s="20"/>
      <c r="L642" s="19"/>
      <c r="M642" s="19"/>
      <c r="N642" s="19"/>
      <c r="O642" s="20"/>
      <c r="P642" s="20"/>
    </row>
    <row r="643" customFormat="false" ht="14.25" hidden="false" customHeight="true" outlineLevel="0" collapsed="false">
      <c r="A643" s="3" t="s">
        <v>1259</v>
      </c>
      <c r="B643" s="3" t="s">
        <v>1260</v>
      </c>
      <c r="C643" s="3" t="n">
        <v>223033</v>
      </c>
      <c r="D643" s="3" t="s">
        <v>1424</v>
      </c>
      <c r="E643" s="18" t="n">
        <v>45400</v>
      </c>
      <c r="F643" s="3" t="s">
        <v>1262</v>
      </c>
      <c r="G643" s="3" t="s">
        <v>1275</v>
      </c>
      <c r="H643" s="19"/>
      <c r="I643" s="19"/>
      <c r="J643" s="20"/>
      <c r="K643" s="20"/>
      <c r="L643" s="19"/>
      <c r="M643" s="19"/>
      <c r="N643" s="19"/>
      <c r="O643" s="20"/>
      <c r="P643" s="20"/>
    </row>
    <row r="644" customFormat="false" ht="14.25" hidden="false" customHeight="true" outlineLevel="0" collapsed="false">
      <c r="A644" s="3" t="s">
        <v>1259</v>
      </c>
      <c r="B644" s="3" t="s">
        <v>1260</v>
      </c>
      <c r="C644" s="3" t="n">
        <v>223033</v>
      </c>
      <c r="D644" s="3" t="s">
        <v>1298</v>
      </c>
      <c r="E644" s="18" t="n">
        <v>45421</v>
      </c>
      <c r="F644" s="3" t="s">
        <v>1262</v>
      </c>
      <c r="G644" s="3" t="s">
        <v>5</v>
      </c>
      <c r="H644" s="19"/>
      <c r="I644" s="19"/>
      <c r="J644" s="20"/>
      <c r="K644" s="20"/>
      <c r="L644" s="19"/>
      <c r="M644" s="19"/>
      <c r="N644" s="19"/>
      <c r="O644" s="20"/>
      <c r="P644" s="20"/>
    </row>
    <row r="645" customFormat="false" ht="14.25" hidden="false" customHeight="true" outlineLevel="0" collapsed="false">
      <c r="A645" s="3" t="s">
        <v>1259</v>
      </c>
      <c r="B645" s="3" t="s">
        <v>1260</v>
      </c>
      <c r="C645" s="3" t="n">
        <v>223035</v>
      </c>
      <c r="D645" s="3" t="s">
        <v>1261</v>
      </c>
      <c r="E645" s="18" t="n">
        <v>45168</v>
      </c>
      <c r="F645" s="3" t="s">
        <v>1262</v>
      </c>
      <c r="G645" s="3" t="s">
        <v>5</v>
      </c>
      <c r="H645" s="19" t="n">
        <v>45168</v>
      </c>
      <c r="I645" s="19" t="n">
        <v>45054</v>
      </c>
      <c r="J645" s="20" t="n">
        <v>72</v>
      </c>
      <c r="K645" s="20" t="s">
        <v>1313</v>
      </c>
      <c r="L645" s="19" t="s">
        <v>12</v>
      </c>
      <c r="M645" s="19"/>
      <c r="N645" s="19"/>
      <c r="O645" s="20"/>
      <c r="P645" s="20"/>
    </row>
    <row r="646" customFormat="false" ht="14.25" hidden="false" customHeight="true" outlineLevel="0" collapsed="false">
      <c r="A646" s="3" t="s">
        <v>1259</v>
      </c>
      <c r="B646" s="3" t="s">
        <v>1260</v>
      </c>
      <c r="C646" s="3" t="n">
        <v>223035</v>
      </c>
      <c r="D646" s="3" t="s">
        <v>1264</v>
      </c>
      <c r="E646" s="18" t="n">
        <v>45189</v>
      </c>
      <c r="F646" s="3" t="s">
        <v>1262</v>
      </c>
      <c r="G646" s="3" t="s">
        <v>5</v>
      </c>
      <c r="H646" s="19"/>
      <c r="I646" s="19"/>
      <c r="J646" s="20"/>
      <c r="K646" s="20"/>
      <c r="L646" s="19"/>
      <c r="M646" s="19"/>
      <c r="N646" s="19"/>
      <c r="O646" s="20"/>
      <c r="P646" s="20"/>
    </row>
    <row r="647" customFormat="false" ht="14.25" hidden="false" customHeight="true" outlineLevel="0" collapsed="false">
      <c r="A647" s="3" t="s">
        <v>1259</v>
      </c>
      <c r="B647" s="3" t="s">
        <v>1260</v>
      </c>
      <c r="C647" s="3" t="n">
        <v>223035</v>
      </c>
      <c r="D647" s="3" t="s">
        <v>1265</v>
      </c>
      <c r="E647" s="18" t="n">
        <v>45191</v>
      </c>
      <c r="F647" s="3" t="s">
        <v>1262</v>
      </c>
      <c r="G647" s="3" t="s">
        <v>5</v>
      </c>
      <c r="H647" s="19"/>
      <c r="I647" s="19"/>
      <c r="J647" s="20"/>
      <c r="K647" s="20"/>
      <c r="L647" s="19"/>
      <c r="M647" s="19"/>
      <c r="N647" s="19"/>
      <c r="O647" s="20"/>
      <c r="P647" s="20"/>
    </row>
    <row r="648" customFormat="false" ht="14.25" hidden="false" customHeight="true" outlineLevel="0" collapsed="false">
      <c r="A648" s="3" t="s">
        <v>1259</v>
      </c>
      <c r="B648" s="3" t="s">
        <v>1260</v>
      </c>
      <c r="C648" s="3" t="n">
        <v>223035</v>
      </c>
      <c r="D648" s="3" t="s">
        <v>1266</v>
      </c>
      <c r="E648" s="18" t="n">
        <v>45196</v>
      </c>
      <c r="F648" s="3" t="s">
        <v>1262</v>
      </c>
      <c r="G648" s="3" t="s">
        <v>5</v>
      </c>
      <c r="H648" s="19"/>
      <c r="I648" s="19"/>
      <c r="J648" s="20"/>
      <c r="K648" s="20"/>
      <c r="L648" s="19"/>
      <c r="M648" s="19"/>
      <c r="N648" s="19"/>
      <c r="O648" s="20"/>
      <c r="P648" s="20"/>
    </row>
    <row r="649" customFormat="false" ht="14.25" hidden="false" customHeight="true" outlineLevel="0" collapsed="false">
      <c r="A649" s="3" t="s">
        <v>1259</v>
      </c>
      <c r="B649" s="3" t="s">
        <v>1260</v>
      </c>
      <c r="C649" s="3" t="n">
        <v>223035</v>
      </c>
      <c r="D649" s="3" t="s">
        <v>1269</v>
      </c>
      <c r="E649" s="18" t="n">
        <v>45203</v>
      </c>
      <c r="F649" s="3" t="s">
        <v>1262</v>
      </c>
      <c r="G649" s="3" t="s">
        <v>5</v>
      </c>
      <c r="H649" s="19"/>
      <c r="I649" s="19"/>
      <c r="J649" s="20"/>
      <c r="K649" s="20"/>
      <c r="L649" s="19"/>
      <c r="M649" s="19"/>
      <c r="N649" s="19"/>
      <c r="O649" s="20"/>
      <c r="P649" s="20"/>
    </row>
    <row r="650" customFormat="false" ht="14.25" hidden="false" customHeight="true" outlineLevel="0" collapsed="false">
      <c r="A650" s="3" t="s">
        <v>1259</v>
      </c>
      <c r="B650" s="3" t="s">
        <v>1260</v>
      </c>
      <c r="C650" s="3" t="n">
        <v>223035</v>
      </c>
      <c r="D650" s="3" t="s">
        <v>1271</v>
      </c>
      <c r="E650" s="18" t="n">
        <v>45210</v>
      </c>
      <c r="F650" s="3" t="s">
        <v>1262</v>
      </c>
      <c r="G650" s="3" t="s">
        <v>5</v>
      </c>
      <c r="H650" s="19"/>
      <c r="I650" s="19"/>
      <c r="J650" s="20"/>
      <c r="K650" s="20"/>
      <c r="L650" s="19"/>
      <c r="M650" s="19"/>
      <c r="N650" s="19"/>
      <c r="O650" s="20"/>
      <c r="P650" s="20"/>
    </row>
    <row r="651" customFormat="false" ht="14.25" hidden="false" customHeight="true" outlineLevel="0" collapsed="false">
      <c r="A651" s="3" t="s">
        <v>1259</v>
      </c>
      <c r="B651" s="3" t="s">
        <v>1260</v>
      </c>
      <c r="C651" s="3" t="n">
        <v>223035</v>
      </c>
      <c r="D651" s="3" t="s">
        <v>1272</v>
      </c>
      <c r="E651" s="18" t="n">
        <v>45212</v>
      </c>
      <c r="F651" s="3" t="s">
        <v>1262</v>
      </c>
      <c r="G651" s="3" t="s">
        <v>5</v>
      </c>
      <c r="H651" s="19"/>
      <c r="I651" s="19"/>
      <c r="J651" s="20"/>
      <c r="K651" s="20"/>
      <c r="L651" s="19"/>
      <c r="M651" s="19"/>
      <c r="N651" s="19"/>
      <c r="O651" s="20"/>
      <c r="P651" s="20"/>
    </row>
    <row r="652" customFormat="false" ht="14.25" hidden="false" customHeight="true" outlineLevel="0" collapsed="false">
      <c r="A652" s="3" t="s">
        <v>1259</v>
      </c>
      <c r="B652" s="3" t="s">
        <v>1260</v>
      </c>
      <c r="C652" s="3" t="n">
        <v>223035</v>
      </c>
      <c r="D652" s="3" t="s">
        <v>1276</v>
      </c>
      <c r="E652" s="18" t="n">
        <v>45229</v>
      </c>
      <c r="F652" s="3" t="s">
        <v>1262</v>
      </c>
      <c r="G652" s="3" t="s">
        <v>5</v>
      </c>
      <c r="H652" s="19"/>
      <c r="I652" s="19"/>
      <c r="J652" s="20"/>
      <c r="K652" s="20"/>
      <c r="L652" s="19"/>
      <c r="M652" s="19"/>
      <c r="N652" s="19"/>
      <c r="O652" s="20"/>
      <c r="P652" s="20"/>
    </row>
    <row r="653" customFormat="false" ht="14.25" hidden="false" customHeight="true" outlineLevel="0" collapsed="false">
      <c r="A653" s="3" t="s">
        <v>1259</v>
      </c>
      <c r="B653" s="3" t="s">
        <v>1260</v>
      </c>
      <c r="C653" s="3" t="n">
        <v>223035</v>
      </c>
      <c r="D653" s="3" t="s">
        <v>1425</v>
      </c>
      <c r="E653" s="18" t="n">
        <v>45238</v>
      </c>
      <c r="F653" s="3" t="s">
        <v>1262</v>
      </c>
      <c r="G653" s="3" t="s">
        <v>1275</v>
      </c>
      <c r="H653" s="19"/>
      <c r="I653" s="19"/>
      <c r="J653" s="20"/>
      <c r="K653" s="20"/>
      <c r="L653" s="19"/>
      <c r="M653" s="19"/>
      <c r="N653" s="19"/>
      <c r="O653" s="20"/>
      <c r="P653" s="20"/>
    </row>
    <row r="654" customFormat="false" ht="14.25" hidden="false" customHeight="true" outlineLevel="0" collapsed="false">
      <c r="A654" s="3" t="s">
        <v>1259</v>
      </c>
      <c r="B654" s="3" t="s">
        <v>1260</v>
      </c>
      <c r="C654" s="3" t="n">
        <v>223035</v>
      </c>
      <c r="D654" s="3" t="s">
        <v>1278</v>
      </c>
      <c r="E654" s="18" t="n">
        <v>45252</v>
      </c>
      <c r="F654" s="3" t="s">
        <v>1262</v>
      </c>
      <c r="G654" s="3" t="s">
        <v>5</v>
      </c>
      <c r="H654" s="19"/>
      <c r="I654" s="19"/>
      <c r="J654" s="20"/>
      <c r="K654" s="20"/>
      <c r="L654" s="19"/>
      <c r="M654" s="19"/>
      <c r="N654" s="19"/>
      <c r="O654" s="20"/>
      <c r="P654" s="20"/>
    </row>
    <row r="655" customFormat="false" ht="14.25" hidden="false" customHeight="true" outlineLevel="0" collapsed="false">
      <c r="A655" s="3" t="s">
        <v>1259</v>
      </c>
      <c r="B655" s="3" t="s">
        <v>1260</v>
      </c>
      <c r="C655" s="3" t="n">
        <v>223035</v>
      </c>
      <c r="D655" s="3" t="s">
        <v>1426</v>
      </c>
      <c r="E655" s="18" t="n">
        <v>45272</v>
      </c>
      <c r="F655" s="3" t="s">
        <v>1262</v>
      </c>
      <c r="G655" s="3" t="s">
        <v>1275</v>
      </c>
      <c r="H655" s="19"/>
      <c r="I655" s="19"/>
      <c r="J655" s="20"/>
      <c r="K655" s="20"/>
      <c r="L655" s="19"/>
      <c r="M655" s="19"/>
      <c r="N655" s="19"/>
      <c r="O655" s="20"/>
      <c r="P655" s="20"/>
    </row>
    <row r="656" customFormat="false" ht="14.25" hidden="false" customHeight="true" outlineLevel="0" collapsed="false">
      <c r="A656" s="3" t="s">
        <v>1259</v>
      </c>
      <c r="B656" s="3" t="s">
        <v>1260</v>
      </c>
      <c r="C656" s="3" t="n">
        <v>223035</v>
      </c>
      <c r="D656" s="3" t="s">
        <v>1281</v>
      </c>
      <c r="E656" s="18" t="n">
        <v>45274</v>
      </c>
      <c r="F656" s="3" t="s">
        <v>1262</v>
      </c>
      <c r="G656" s="3" t="s">
        <v>5</v>
      </c>
      <c r="H656" s="19"/>
      <c r="I656" s="19"/>
      <c r="J656" s="20"/>
      <c r="K656" s="20"/>
      <c r="L656" s="19"/>
      <c r="M656" s="19"/>
      <c r="N656" s="19"/>
      <c r="O656" s="20"/>
      <c r="P656" s="20"/>
    </row>
    <row r="657" customFormat="false" ht="14.25" hidden="false" customHeight="true" outlineLevel="0" collapsed="false">
      <c r="A657" s="3" t="s">
        <v>1259</v>
      </c>
      <c r="B657" s="3" t="s">
        <v>1260</v>
      </c>
      <c r="C657" s="3" t="n">
        <v>223035</v>
      </c>
      <c r="D657" s="3" t="s">
        <v>1283</v>
      </c>
      <c r="E657" s="18" t="n">
        <v>45295</v>
      </c>
      <c r="F657" s="3" t="s">
        <v>1262</v>
      </c>
      <c r="G657" s="3" t="s">
        <v>5</v>
      </c>
      <c r="H657" s="19"/>
      <c r="I657" s="19"/>
      <c r="J657" s="20"/>
      <c r="K657" s="20"/>
      <c r="L657" s="19"/>
      <c r="M657" s="19"/>
      <c r="N657" s="19"/>
      <c r="O657" s="20"/>
      <c r="P657" s="20"/>
    </row>
    <row r="658" customFormat="false" ht="14.25" hidden="false" customHeight="true" outlineLevel="0" collapsed="false">
      <c r="A658" s="3" t="s">
        <v>1259</v>
      </c>
      <c r="B658" s="3" t="s">
        <v>1260</v>
      </c>
      <c r="C658" s="3" t="n">
        <v>223035</v>
      </c>
      <c r="D658" s="3" t="s">
        <v>1286</v>
      </c>
      <c r="E658" s="18" t="n">
        <v>45315</v>
      </c>
      <c r="F658" s="3" t="s">
        <v>1262</v>
      </c>
      <c r="G658" s="3" t="s">
        <v>5</v>
      </c>
      <c r="H658" s="19"/>
      <c r="I658" s="19"/>
      <c r="J658" s="20"/>
      <c r="K658" s="20"/>
      <c r="L658" s="19"/>
      <c r="M658" s="19"/>
      <c r="N658" s="19"/>
      <c r="O658" s="20"/>
      <c r="P658" s="20"/>
    </row>
    <row r="659" customFormat="false" ht="14.25" hidden="false" customHeight="true" outlineLevel="0" collapsed="false">
      <c r="A659" s="3" t="s">
        <v>1259</v>
      </c>
      <c r="B659" s="3" t="s">
        <v>1260</v>
      </c>
      <c r="C659" s="3" t="n">
        <v>223035</v>
      </c>
      <c r="D659" s="3" t="s">
        <v>1427</v>
      </c>
      <c r="E659" s="18" t="n">
        <v>45320</v>
      </c>
      <c r="F659" s="3" t="s">
        <v>1262</v>
      </c>
      <c r="G659" s="3" t="s">
        <v>1275</v>
      </c>
      <c r="H659" s="19"/>
      <c r="I659" s="19"/>
      <c r="J659" s="20"/>
      <c r="K659" s="20"/>
      <c r="L659" s="19"/>
      <c r="M659" s="19"/>
      <c r="N659" s="19"/>
      <c r="O659" s="20"/>
      <c r="P659" s="20"/>
    </row>
    <row r="660" customFormat="false" ht="14.25" hidden="false" customHeight="true" outlineLevel="0" collapsed="false">
      <c r="A660" s="3" t="s">
        <v>1259</v>
      </c>
      <c r="B660" s="3" t="s">
        <v>1260</v>
      </c>
      <c r="C660" s="3" t="n">
        <v>223035</v>
      </c>
      <c r="D660" s="3" t="s">
        <v>1288</v>
      </c>
      <c r="E660" s="18" t="n">
        <v>45336</v>
      </c>
      <c r="F660" s="3" t="s">
        <v>1262</v>
      </c>
      <c r="G660" s="3" t="s">
        <v>5</v>
      </c>
      <c r="H660" s="19"/>
      <c r="I660" s="19"/>
      <c r="J660" s="20"/>
      <c r="K660" s="20"/>
      <c r="L660" s="19"/>
      <c r="M660" s="19"/>
      <c r="N660" s="19"/>
      <c r="O660" s="20"/>
      <c r="P660" s="20"/>
    </row>
    <row r="661" customFormat="false" ht="14.25" hidden="false" customHeight="true" outlineLevel="0" collapsed="false">
      <c r="A661" s="3" t="s">
        <v>1259</v>
      </c>
      <c r="B661" s="3" t="s">
        <v>1260</v>
      </c>
      <c r="C661" s="3" t="n">
        <v>223035</v>
      </c>
      <c r="D661" s="3" t="s">
        <v>1290</v>
      </c>
      <c r="E661" s="18" t="n">
        <v>45355</v>
      </c>
      <c r="F661" s="3" t="s">
        <v>1262</v>
      </c>
      <c r="G661" s="3" t="s">
        <v>5</v>
      </c>
      <c r="H661" s="19"/>
      <c r="I661" s="19"/>
      <c r="J661" s="20"/>
      <c r="K661" s="20"/>
      <c r="L661" s="19"/>
      <c r="M661" s="19"/>
      <c r="N661" s="19"/>
      <c r="O661" s="20"/>
      <c r="P661" s="20"/>
    </row>
    <row r="662" customFormat="false" ht="14.25" hidden="false" customHeight="true" outlineLevel="0" collapsed="false">
      <c r="A662" s="3" t="s">
        <v>1259</v>
      </c>
      <c r="B662" s="3" t="s">
        <v>1260</v>
      </c>
      <c r="C662" s="3" t="n">
        <v>223035</v>
      </c>
      <c r="D662" s="3" t="s">
        <v>1428</v>
      </c>
      <c r="E662" s="18" t="n">
        <v>45362</v>
      </c>
      <c r="F662" s="3" t="s">
        <v>1262</v>
      </c>
      <c r="G662" s="3" t="s">
        <v>1275</v>
      </c>
      <c r="H662" s="19"/>
      <c r="I662" s="19"/>
      <c r="J662" s="20"/>
      <c r="K662" s="20"/>
      <c r="L662" s="19"/>
      <c r="M662" s="19"/>
      <c r="N662" s="19"/>
      <c r="O662" s="20"/>
      <c r="P662" s="20"/>
    </row>
    <row r="663" customFormat="false" ht="14.25" hidden="false" customHeight="true" outlineLevel="0" collapsed="false">
      <c r="A663" s="3" t="s">
        <v>1259</v>
      </c>
      <c r="B663" s="3" t="s">
        <v>1260</v>
      </c>
      <c r="C663" s="3" t="n">
        <v>223035</v>
      </c>
      <c r="D663" s="3" t="s">
        <v>1293</v>
      </c>
      <c r="E663" s="18" t="n">
        <v>45378</v>
      </c>
      <c r="F663" s="3" t="s">
        <v>1262</v>
      </c>
      <c r="G663" s="3" t="s">
        <v>5</v>
      </c>
      <c r="H663" s="19"/>
      <c r="I663" s="19"/>
      <c r="J663" s="20"/>
      <c r="K663" s="20"/>
      <c r="L663" s="19"/>
      <c r="M663" s="19"/>
      <c r="N663" s="19"/>
      <c r="O663" s="20"/>
      <c r="P663" s="20"/>
    </row>
    <row r="664" customFormat="false" ht="14.25" hidden="false" customHeight="true" outlineLevel="0" collapsed="false">
      <c r="A664" s="3" t="s">
        <v>1259</v>
      </c>
      <c r="B664" s="3" t="s">
        <v>1260</v>
      </c>
      <c r="C664" s="3" t="n">
        <v>223035</v>
      </c>
      <c r="D664" s="3" t="s">
        <v>1295</v>
      </c>
      <c r="E664" s="18" t="n">
        <v>45399</v>
      </c>
      <c r="F664" s="3" t="s">
        <v>1262</v>
      </c>
      <c r="G664" s="3" t="s">
        <v>5</v>
      </c>
      <c r="H664" s="19"/>
      <c r="I664" s="19"/>
      <c r="J664" s="20"/>
      <c r="K664" s="20"/>
      <c r="L664" s="19"/>
      <c r="M664" s="19"/>
      <c r="N664" s="19"/>
      <c r="O664" s="20"/>
      <c r="P664" s="20"/>
    </row>
    <row r="665" customFormat="false" ht="14.25" hidden="false" customHeight="true" outlineLevel="0" collapsed="false">
      <c r="A665" s="3" t="s">
        <v>1259</v>
      </c>
      <c r="B665" s="3" t="s">
        <v>1260</v>
      </c>
      <c r="C665" s="3" t="n">
        <v>223035</v>
      </c>
      <c r="D665" s="3" t="s">
        <v>1429</v>
      </c>
      <c r="E665" s="18" t="n">
        <v>45404</v>
      </c>
      <c r="F665" s="3" t="s">
        <v>1262</v>
      </c>
      <c r="G665" s="3" t="s">
        <v>1275</v>
      </c>
      <c r="H665" s="19"/>
      <c r="I665" s="19"/>
      <c r="J665" s="20"/>
      <c r="K665" s="20"/>
      <c r="L665" s="19"/>
      <c r="M665" s="19"/>
      <c r="N665" s="19"/>
      <c r="O665" s="20"/>
      <c r="P665" s="20"/>
    </row>
    <row r="666" customFormat="false" ht="14.25" hidden="false" customHeight="true" outlineLevel="0" collapsed="false">
      <c r="A666" s="3" t="s">
        <v>1259</v>
      </c>
      <c r="B666" s="3" t="s">
        <v>1260</v>
      </c>
      <c r="C666" s="3" t="n">
        <v>223035</v>
      </c>
      <c r="D666" s="3" t="s">
        <v>1298</v>
      </c>
      <c r="E666" s="18" t="n">
        <v>45420</v>
      </c>
      <c r="F666" s="3" t="s">
        <v>1262</v>
      </c>
      <c r="G666" s="3" t="s">
        <v>5</v>
      </c>
      <c r="H666" s="19"/>
      <c r="I666" s="19"/>
      <c r="J666" s="20"/>
      <c r="K666" s="20"/>
      <c r="L666" s="19"/>
      <c r="M666" s="19"/>
      <c r="N666" s="19"/>
      <c r="O666" s="20"/>
      <c r="P666" s="20"/>
    </row>
    <row r="667" customFormat="false" ht="14.25" hidden="false" customHeight="true" outlineLevel="0" collapsed="false">
      <c r="A667" s="3" t="s">
        <v>1259</v>
      </c>
      <c r="B667" s="3" t="s">
        <v>1260</v>
      </c>
      <c r="C667" s="3" t="n">
        <v>223039</v>
      </c>
      <c r="D667" s="3" t="s">
        <v>1261</v>
      </c>
      <c r="E667" s="18" t="n">
        <v>45170</v>
      </c>
      <c r="F667" s="3" t="s">
        <v>1262</v>
      </c>
      <c r="G667" s="3" t="s">
        <v>5</v>
      </c>
      <c r="H667" s="19" t="n">
        <v>45170</v>
      </c>
      <c r="I667" s="19" t="n">
        <v>45054</v>
      </c>
      <c r="J667" s="20" t="n">
        <v>61</v>
      </c>
      <c r="K667" s="20" t="s">
        <v>1263</v>
      </c>
      <c r="L667" s="19" t="s">
        <v>12</v>
      </c>
      <c r="M667" s="19" t="s">
        <v>1334</v>
      </c>
      <c r="N667" s="19" t="n">
        <v>45351</v>
      </c>
      <c r="O667" s="20" t="s">
        <v>1354</v>
      </c>
      <c r="P667" s="20"/>
    </row>
    <row r="668" customFormat="false" ht="14.25" hidden="false" customHeight="true" outlineLevel="0" collapsed="false">
      <c r="A668" s="3" t="s">
        <v>1259</v>
      </c>
      <c r="B668" s="3" t="s">
        <v>1260</v>
      </c>
      <c r="C668" s="3" t="n">
        <v>223039</v>
      </c>
      <c r="D668" s="3" t="s">
        <v>1264</v>
      </c>
      <c r="E668" s="18" t="n">
        <v>45196</v>
      </c>
      <c r="F668" s="3" t="s">
        <v>1262</v>
      </c>
      <c r="G668" s="3" t="s">
        <v>5</v>
      </c>
      <c r="H668" s="19"/>
      <c r="I668" s="19"/>
      <c r="J668" s="20"/>
      <c r="K668" s="20"/>
      <c r="L668" s="19"/>
      <c r="M668" s="19"/>
      <c r="N668" s="19"/>
      <c r="O668" s="20"/>
      <c r="P668" s="20"/>
    </row>
    <row r="669" customFormat="false" ht="14.25" hidden="false" customHeight="true" outlineLevel="0" collapsed="false">
      <c r="A669" s="3" t="s">
        <v>1259</v>
      </c>
      <c r="B669" s="3" t="s">
        <v>1260</v>
      </c>
      <c r="C669" s="3" t="n">
        <v>223039</v>
      </c>
      <c r="D669" s="3" t="s">
        <v>1266</v>
      </c>
      <c r="E669" s="18" t="n">
        <v>45204</v>
      </c>
      <c r="F669" s="3" t="s">
        <v>1262</v>
      </c>
      <c r="G669" s="3" t="s">
        <v>5</v>
      </c>
      <c r="H669" s="19"/>
      <c r="I669" s="19"/>
      <c r="J669" s="20"/>
      <c r="K669" s="20"/>
      <c r="L669" s="19"/>
      <c r="M669" s="19"/>
      <c r="N669" s="19"/>
      <c r="O669" s="20"/>
      <c r="P669" s="20"/>
    </row>
    <row r="670" customFormat="false" ht="14.25" hidden="false" customHeight="true" outlineLevel="0" collapsed="false">
      <c r="A670" s="3" t="s">
        <v>1259</v>
      </c>
      <c r="B670" s="3" t="s">
        <v>1260</v>
      </c>
      <c r="C670" s="3" t="n">
        <v>223039</v>
      </c>
      <c r="D670" s="3" t="s">
        <v>1269</v>
      </c>
      <c r="E670" s="18" t="n">
        <v>45210</v>
      </c>
      <c r="F670" s="3" t="s">
        <v>1262</v>
      </c>
      <c r="G670" s="3" t="s">
        <v>5</v>
      </c>
      <c r="H670" s="19"/>
      <c r="I670" s="19"/>
      <c r="J670" s="20"/>
      <c r="K670" s="20"/>
      <c r="L670" s="19"/>
      <c r="M670" s="19"/>
      <c r="N670" s="19"/>
      <c r="O670" s="20"/>
      <c r="P670" s="20"/>
    </row>
    <row r="671" customFormat="false" ht="14.25" hidden="false" customHeight="true" outlineLevel="0" collapsed="false">
      <c r="A671" s="3" t="s">
        <v>1259</v>
      </c>
      <c r="B671" s="3" t="s">
        <v>1260</v>
      </c>
      <c r="C671" s="3" t="n">
        <v>223039</v>
      </c>
      <c r="D671" s="3" t="s">
        <v>1271</v>
      </c>
      <c r="E671" s="18" t="n">
        <v>45217</v>
      </c>
      <c r="F671" s="3" t="s">
        <v>1262</v>
      </c>
      <c r="G671" s="3" t="s">
        <v>5</v>
      </c>
      <c r="H671" s="19"/>
      <c r="I671" s="19"/>
      <c r="J671" s="20"/>
      <c r="K671" s="20"/>
      <c r="L671" s="19"/>
      <c r="M671" s="19"/>
      <c r="N671" s="19"/>
      <c r="O671" s="20"/>
      <c r="P671" s="20"/>
    </row>
    <row r="672" customFormat="false" ht="14.25" hidden="false" customHeight="true" outlineLevel="0" collapsed="false">
      <c r="A672" s="3" t="s">
        <v>1259</v>
      </c>
      <c r="B672" s="3" t="s">
        <v>1260</v>
      </c>
      <c r="C672" s="3" t="n">
        <v>223039</v>
      </c>
      <c r="D672" s="3" t="s">
        <v>1272</v>
      </c>
      <c r="E672" s="18" t="n">
        <v>45219</v>
      </c>
      <c r="F672" s="3" t="s">
        <v>1262</v>
      </c>
      <c r="G672" s="3" t="s">
        <v>5</v>
      </c>
      <c r="H672" s="19"/>
      <c r="I672" s="19"/>
      <c r="J672" s="20"/>
      <c r="K672" s="20"/>
      <c r="L672" s="19"/>
      <c r="M672" s="19"/>
      <c r="N672" s="19"/>
      <c r="O672" s="20"/>
      <c r="P672" s="20"/>
    </row>
    <row r="673" customFormat="false" ht="14.25" hidden="false" customHeight="true" outlineLevel="0" collapsed="false">
      <c r="A673" s="3" t="s">
        <v>1259</v>
      </c>
      <c r="B673" s="3" t="s">
        <v>1260</v>
      </c>
      <c r="C673" s="3" t="n">
        <v>223039</v>
      </c>
      <c r="D673" s="3" t="s">
        <v>1276</v>
      </c>
      <c r="E673" s="18" t="n">
        <v>45238</v>
      </c>
      <c r="F673" s="3" t="s">
        <v>1262</v>
      </c>
      <c r="G673" s="3" t="s">
        <v>5</v>
      </c>
      <c r="H673" s="19"/>
      <c r="I673" s="19"/>
      <c r="J673" s="20"/>
      <c r="K673" s="20"/>
      <c r="L673" s="19"/>
      <c r="M673" s="19"/>
      <c r="N673" s="19"/>
      <c r="O673" s="20"/>
      <c r="P673" s="20"/>
    </row>
    <row r="674" customFormat="false" ht="14.25" hidden="false" customHeight="true" outlineLevel="0" collapsed="false">
      <c r="A674" s="3" t="s">
        <v>1259</v>
      </c>
      <c r="B674" s="3" t="s">
        <v>1260</v>
      </c>
      <c r="C674" s="3" t="n">
        <v>223039</v>
      </c>
      <c r="D674" s="3" t="s">
        <v>1425</v>
      </c>
      <c r="E674" s="18" t="n">
        <v>45238</v>
      </c>
      <c r="F674" s="3" t="s">
        <v>1262</v>
      </c>
      <c r="G674" s="3" t="s">
        <v>1275</v>
      </c>
      <c r="H674" s="19"/>
      <c r="I674" s="19"/>
      <c r="J674" s="20"/>
      <c r="K674" s="20"/>
      <c r="L674" s="19"/>
      <c r="M674" s="19"/>
      <c r="N674" s="19"/>
      <c r="O674" s="20"/>
      <c r="P674" s="20"/>
    </row>
    <row r="675" customFormat="false" ht="14.25" hidden="false" customHeight="true" outlineLevel="0" collapsed="false">
      <c r="A675" s="3" t="s">
        <v>1259</v>
      </c>
      <c r="B675" s="3" t="s">
        <v>1260</v>
      </c>
      <c r="C675" s="3" t="n">
        <v>223039</v>
      </c>
      <c r="D675" s="3" t="s">
        <v>1278</v>
      </c>
      <c r="E675" s="18" t="n">
        <v>45257</v>
      </c>
      <c r="F675" s="3" t="s">
        <v>1262</v>
      </c>
      <c r="G675" s="3" t="s">
        <v>5</v>
      </c>
      <c r="H675" s="19"/>
      <c r="I675" s="19"/>
      <c r="J675" s="20"/>
      <c r="K675" s="20"/>
      <c r="L675" s="19"/>
      <c r="M675" s="19"/>
      <c r="N675" s="19"/>
      <c r="O675" s="20"/>
      <c r="P675" s="20"/>
    </row>
    <row r="676" customFormat="false" ht="14.25" hidden="false" customHeight="true" outlineLevel="0" collapsed="false">
      <c r="A676" s="3" t="s">
        <v>1259</v>
      </c>
      <c r="B676" s="3" t="s">
        <v>1260</v>
      </c>
      <c r="C676" s="3" t="n">
        <v>223039</v>
      </c>
      <c r="D676" s="3" t="s">
        <v>1281</v>
      </c>
      <c r="E676" s="18" t="n">
        <v>45278</v>
      </c>
      <c r="F676" s="3" t="s">
        <v>1262</v>
      </c>
      <c r="G676" s="3" t="s">
        <v>5</v>
      </c>
      <c r="H676" s="19"/>
      <c r="I676" s="19"/>
      <c r="J676" s="20"/>
      <c r="K676" s="20"/>
      <c r="L676" s="19"/>
      <c r="M676" s="19"/>
      <c r="N676" s="19"/>
      <c r="O676" s="20"/>
      <c r="P676" s="20"/>
    </row>
    <row r="677" customFormat="false" ht="14.25" hidden="false" customHeight="true" outlineLevel="0" collapsed="false">
      <c r="A677" s="3" t="s">
        <v>1259</v>
      </c>
      <c r="B677" s="3" t="s">
        <v>1260</v>
      </c>
      <c r="C677" s="3" t="n">
        <v>223039</v>
      </c>
      <c r="D677" s="3" t="s">
        <v>1351</v>
      </c>
      <c r="E677" s="18" t="n">
        <v>45278</v>
      </c>
      <c r="F677" s="3" t="s">
        <v>1262</v>
      </c>
      <c r="G677" s="3" t="s">
        <v>1275</v>
      </c>
      <c r="H677" s="19"/>
      <c r="I677" s="19"/>
      <c r="J677" s="20"/>
      <c r="K677" s="20"/>
      <c r="L677" s="19"/>
      <c r="M677" s="19"/>
      <c r="N677" s="19"/>
      <c r="O677" s="20"/>
      <c r="P677" s="20"/>
    </row>
    <row r="678" customFormat="false" ht="14.25" hidden="false" customHeight="true" outlineLevel="0" collapsed="false">
      <c r="A678" s="3" t="s">
        <v>1259</v>
      </c>
      <c r="B678" s="3" t="s">
        <v>1260</v>
      </c>
      <c r="C678" s="3" t="n">
        <v>223039</v>
      </c>
      <c r="D678" s="3" t="s">
        <v>1283</v>
      </c>
      <c r="E678" s="18" t="n">
        <v>45301</v>
      </c>
      <c r="F678" s="3" t="s">
        <v>1262</v>
      </c>
      <c r="G678" s="3" t="s">
        <v>5</v>
      </c>
      <c r="H678" s="19"/>
      <c r="I678" s="19"/>
      <c r="J678" s="20"/>
      <c r="K678" s="20"/>
      <c r="L678" s="19"/>
      <c r="M678" s="19"/>
      <c r="N678" s="19"/>
      <c r="O678" s="20"/>
      <c r="P678" s="20"/>
    </row>
    <row r="679" customFormat="false" ht="14.25" hidden="false" customHeight="true" outlineLevel="0" collapsed="false">
      <c r="A679" s="3" t="s">
        <v>1259</v>
      </c>
      <c r="B679" s="3" t="s">
        <v>1260</v>
      </c>
      <c r="C679" s="3" t="n">
        <v>223039</v>
      </c>
      <c r="D679" s="3" t="s">
        <v>1286</v>
      </c>
      <c r="E679" s="18" t="n">
        <v>45320</v>
      </c>
      <c r="F679" s="3" t="s">
        <v>1262</v>
      </c>
      <c r="G679" s="3" t="s">
        <v>5</v>
      </c>
      <c r="H679" s="19"/>
      <c r="I679" s="19"/>
      <c r="J679" s="20"/>
      <c r="K679" s="20"/>
      <c r="L679" s="19"/>
      <c r="M679" s="19"/>
      <c r="N679" s="19"/>
      <c r="O679" s="20"/>
      <c r="P679" s="20"/>
    </row>
    <row r="680" customFormat="false" ht="14.25" hidden="false" customHeight="true" outlineLevel="0" collapsed="false">
      <c r="A680" s="3" t="s">
        <v>1259</v>
      </c>
      <c r="B680" s="3" t="s">
        <v>1260</v>
      </c>
      <c r="C680" s="3" t="n">
        <v>223039</v>
      </c>
      <c r="D680" s="3" t="s">
        <v>1427</v>
      </c>
      <c r="E680" s="18" t="n">
        <v>45320</v>
      </c>
      <c r="F680" s="3" t="s">
        <v>1262</v>
      </c>
      <c r="G680" s="3" t="s">
        <v>1275</v>
      </c>
      <c r="H680" s="19"/>
      <c r="I680" s="19"/>
      <c r="J680" s="20"/>
      <c r="K680" s="20"/>
      <c r="L680" s="19"/>
      <c r="M680" s="19"/>
      <c r="N680" s="19"/>
      <c r="O680" s="20"/>
      <c r="P680" s="20"/>
    </row>
    <row r="681" customFormat="false" ht="14.25" hidden="false" customHeight="true" outlineLevel="0" collapsed="false">
      <c r="A681" s="3" t="s">
        <v>1259</v>
      </c>
      <c r="B681" s="3" t="s">
        <v>1260</v>
      </c>
      <c r="C681" s="3" t="n">
        <v>223039</v>
      </c>
      <c r="D681" s="3" t="s">
        <v>1265</v>
      </c>
      <c r="F681" s="3" t="s">
        <v>1262</v>
      </c>
      <c r="G681" s="3" t="s">
        <v>5</v>
      </c>
      <c r="H681" s="19"/>
      <c r="I681" s="19"/>
      <c r="J681" s="20"/>
      <c r="K681" s="20"/>
      <c r="L681" s="19"/>
      <c r="M681" s="19"/>
      <c r="N681" s="19"/>
      <c r="O681" s="20"/>
      <c r="P681" s="20"/>
    </row>
    <row r="682" customFormat="false" ht="14.25" hidden="false" customHeight="true" outlineLevel="0" collapsed="false">
      <c r="A682" s="3" t="s">
        <v>1259</v>
      </c>
      <c r="B682" s="3" t="s">
        <v>1260</v>
      </c>
      <c r="C682" s="3" t="n">
        <v>223039</v>
      </c>
      <c r="D682" s="3" t="s">
        <v>1376</v>
      </c>
      <c r="F682" s="3" t="s">
        <v>1262</v>
      </c>
      <c r="G682" s="3" t="s">
        <v>5</v>
      </c>
      <c r="H682" s="19"/>
      <c r="I682" s="19"/>
      <c r="J682" s="20"/>
      <c r="K682" s="20"/>
      <c r="L682" s="19"/>
      <c r="M682" s="19"/>
      <c r="N682" s="19"/>
      <c r="O682" s="20"/>
      <c r="P682" s="20"/>
    </row>
    <row r="683" customFormat="false" ht="14.25" hidden="false" customHeight="true" outlineLevel="0" collapsed="false">
      <c r="A683" s="3" t="s">
        <v>1259</v>
      </c>
      <c r="B683" s="3" t="s">
        <v>1260</v>
      </c>
      <c r="C683" s="3" t="n">
        <v>223041</v>
      </c>
      <c r="D683" s="3" t="s">
        <v>1261</v>
      </c>
      <c r="E683" s="18" t="n">
        <v>45173</v>
      </c>
      <c r="F683" s="3" t="s">
        <v>1262</v>
      </c>
      <c r="G683" s="3" t="s">
        <v>5</v>
      </c>
      <c r="H683" s="19" t="n">
        <v>45173</v>
      </c>
      <c r="I683" s="19" t="n">
        <v>45054</v>
      </c>
      <c r="J683" s="20" t="n">
        <v>66</v>
      </c>
      <c r="K683" s="20" t="s">
        <v>1263</v>
      </c>
      <c r="L683" s="19" t="s">
        <v>12</v>
      </c>
      <c r="M683" s="19"/>
      <c r="N683" s="19"/>
      <c r="O683" s="20"/>
      <c r="P683" s="20"/>
    </row>
    <row r="684" customFormat="false" ht="14.25" hidden="false" customHeight="true" outlineLevel="0" collapsed="false">
      <c r="A684" s="3" t="s">
        <v>1259</v>
      </c>
      <c r="B684" s="3" t="s">
        <v>1260</v>
      </c>
      <c r="C684" s="3" t="n">
        <v>223041</v>
      </c>
      <c r="D684" s="3" t="s">
        <v>1264</v>
      </c>
      <c r="E684" s="18" t="n">
        <v>45188</v>
      </c>
      <c r="F684" s="3" t="s">
        <v>1262</v>
      </c>
      <c r="G684" s="3" t="s">
        <v>5</v>
      </c>
      <c r="H684" s="19"/>
      <c r="I684" s="19"/>
      <c r="J684" s="20"/>
      <c r="K684" s="20"/>
      <c r="L684" s="19"/>
      <c r="M684" s="19"/>
      <c r="N684" s="19"/>
      <c r="O684" s="20"/>
      <c r="P684" s="20"/>
    </row>
    <row r="685" customFormat="false" ht="14.25" hidden="false" customHeight="true" outlineLevel="0" collapsed="false">
      <c r="A685" s="3" t="s">
        <v>1259</v>
      </c>
      <c r="B685" s="3" t="s">
        <v>1260</v>
      </c>
      <c r="C685" s="3" t="n">
        <v>223041</v>
      </c>
      <c r="D685" s="3" t="s">
        <v>1265</v>
      </c>
      <c r="E685" s="18" t="n">
        <v>45190</v>
      </c>
      <c r="F685" s="3" t="s">
        <v>1262</v>
      </c>
      <c r="G685" s="3" t="s">
        <v>5</v>
      </c>
      <c r="H685" s="19"/>
      <c r="I685" s="19"/>
      <c r="J685" s="20"/>
      <c r="K685" s="20"/>
      <c r="L685" s="19"/>
      <c r="M685" s="19"/>
      <c r="N685" s="19"/>
      <c r="O685" s="20"/>
      <c r="P685" s="20"/>
    </row>
    <row r="686" customFormat="false" ht="14.25" hidden="false" customHeight="true" outlineLevel="0" collapsed="false">
      <c r="A686" s="3" t="s">
        <v>1259</v>
      </c>
      <c r="B686" s="3" t="s">
        <v>1260</v>
      </c>
      <c r="C686" s="3" t="n">
        <v>223041</v>
      </c>
      <c r="D686" s="3" t="s">
        <v>1266</v>
      </c>
      <c r="E686" s="18" t="n">
        <v>45195</v>
      </c>
      <c r="F686" s="3" t="s">
        <v>1262</v>
      </c>
      <c r="G686" s="3" t="s">
        <v>5</v>
      </c>
      <c r="H686" s="19"/>
      <c r="I686" s="19"/>
      <c r="J686" s="20"/>
      <c r="K686" s="20"/>
      <c r="L686" s="19"/>
      <c r="M686" s="19"/>
      <c r="N686" s="19"/>
      <c r="O686" s="20"/>
      <c r="P686" s="20"/>
    </row>
    <row r="687" customFormat="false" ht="14.25" hidden="false" customHeight="true" outlineLevel="0" collapsed="false">
      <c r="A687" s="3" t="s">
        <v>1259</v>
      </c>
      <c r="B687" s="3" t="s">
        <v>1260</v>
      </c>
      <c r="C687" s="3" t="n">
        <v>223041</v>
      </c>
      <c r="D687" s="3" t="s">
        <v>1269</v>
      </c>
      <c r="E687" s="18" t="n">
        <v>45204</v>
      </c>
      <c r="F687" s="3" t="s">
        <v>1262</v>
      </c>
      <c r="G687" s="3" t="s">
        <v>5</v>
      </c>
      <c r="H687" s="19"/>
      <c r="I687" s="19"/>
      <c r="J687" s="20"/>
      <c r="K687" s="20"/>
      <c r="L687" s="19"/>
      <c r="M687" s="19"/>
      <c r="N687" s="19"/>
      <c r="O687" s="20"/>
      <c r="P687" s="20"/>
    </row>
    <row r="688" customFormat="false" ht="14.25" hidden="false" customHeight="true" outlineLevel="0" collapsed="false">
      <c r="A688" s="3" t="s">
        <v>1259</v>
      </c>
      <c r="B688" s="3" t="s">
        <v>1260</v>
      </c>
      <c r="C688" s="3" t="n">
        <v>223041</v>
      </c>
      <c r="D688" s="3" t="s">
        <v>1271</v>
      </c>
      <c r="E688" s="18" t="n">
        <v>45209</v>
      </c>
      <c r="F688" s="3" t="s">
        <v>1262</v>
      </c>
      <c r="G688" s="3" t="s">
        <v>5</v>
      </c>
      <c r="H688" s="19"/>
      <c r="I688" s="19"/>
      <c r="J688" s="20"/>
      <c r="K688" s="20"/>
      <c r="L688" s="19"/>
      <c r="M688" s="19"/>
      <c r="N688" s="19"/>
      <c r="O688" s="20"/>
      <c r="P688" s="20"/>
    </row>
    <row r="689" customFormat="false" ht="14.25" hidden="false" customHeight="true" outlineLevel="0" collapsed="false">
      <c r="A689" s="3" t="s">
        <v>1259</v>
      </c>
      <c r="B689" s="3" t="s">
        <v>1260</v>
      </c>
      <c r="C689" s="3" t="n">
        <v>223041</v>
      </c>
      <c r="D689" s="3" t="s">
        <v>1276</v>
      </c>
      <c r="E689" s="18" t="n">
        <v>45230</v>
      </c>
      <c r="F689" s="3" t="s">
        <v>1262</v>
      </c>
      <c r="G689" s="3" t="s">
        <v>5</v>
      </c>
      <c r="H689" s="19"/>
      <c r="I689" s="19"/>
      <c r="J689" s="20"/>
      <c r="K689" s="20"/>
      <c r="L689" s="19"/>
      <c r="M689" s="19"/>
      <c r="N689" s="19"/>
      <c r="O689" s="20"/>
      <c r="P689" s="20"/>
    </row>
    <row r="690" customFormat="false" ht="14.25" hidden="false" customHeight="true" outlineLevel="0" collapsed="false">
      <c r="A690" s="3" t="s">
        <v>1259</v>
      </c>
      <c r="B690" s="3" t="s">
        <v>1260</v>
      </c>
      <c r="C690" s="3" t="n">
        <v>223041</v>
      </c>
      <c r="D690" s="3" t="s">
        <v>1373</v>
      </c>
      <c r="E690" s="18" t="n">
        <v>45230</v>
      </c>
      <c r="F690" s="3" t="s">
        <v>1262</v>
      </c>
      <c r="G690" s="3" t="s">
        <v>1275</v>
      </c>
      <c r="H690" s="19"/>
      <c r="I690" s="19"/>
      <c r="J690" s="20"/>
      <c r="K690" s="20"/>
      <c r="L690" s="19"/>
      <c r="M690" s="19"/>
      <c r="N690" s="19"/>
      <c r="O690" s="20"/>
      <c r="P690" s="20"/>
    </row>
    <row r="691" customFormat="false" ht="14.25" hidden="false" customHeight="true" outlineLevel="0" collapsed="false">
      <c r="A691" s="3" t="s">
        <v>1259</v>
      </c>
      <c r="B691" s="3" t="s">
        <v>1260</v>
      </c>
      <c r="C691" s="3" t="n">
        <v>223041</v>
      </c>
      <c r="D691" s="3" t="s">
        <v>1278</v>
      </c>
      <c r="E691" s="18" t="n">
        <v>45251</v>
      </c>
      <c r="F691" s="3" t="s">
        <v>1262</v>
      </c>
      <c r="G691" s="3" t="s">
        <v>5</v>
      </c>
      <c r="H691" s="19"/>
      <c r="I691" s="19"/>
      <c r="J691" s="20"/>
      <c r="K691" s="20"/>
      <c r="L691" s="19"/>
      <c r="M691" s="19"/>
      <c r="N691" s="19"/>
      <c r="O691" s="20"/>
      <c r="P691" s="20"/>
    </row>
    <row r="692" customFormat="false" ht="14.25" hidden="false" customHeight="true" outlineLevel="0" collapsed="false">
      <c r="A692" s="3" t="s">
        <v>1259</v>
      </c>
      <c r="B692" s="3" t="s">
        <v>1260</v>
      </c>
      <c r="C692" s="3" t="n">
        <v>223041</v>
      </c>
      <c r="D692" s="3" t="s">
        <v>1281</v>
      </c>
      <c r="E692" s="18" t="n">
        <v>45272</v>
      </c>
      <c r="F692" s="3" t="s">
        <v>1262</v>
      </c>
      <c r="G692" s="3" t="s">
        <v>5</v>
      </c>
      <c r="H692" s="19"/>
      <c r="I692" s="19"/>
      <c r="J692" s="20"/>
      <c r="K692" s="20"/>
      <c r="L692" s="19"/>
      <c r="M692" s="19"/>
      <c r="N692" s="19"/>
      <c r="O692" s="20"/>
      <c r="P692" s="20"/>
    </row>
    <row r="693" customFormat="false" ht="14.25" hidden="false" customHeight="true" outlineLevel="0" collapsed="false">
      <c r="A693" s="3" t="s">
        <v>1259</v>
      </c>
      <c r="B693" s="3" t="s">
        <v>1260</v>
      </c>
      <c r="C693" s="3" t="n">
        <v>223041</v>
      </c>
      <c r="D693" s="3" t="s">
        <v>1402</v>
      </c>
      <c r="E693" s="18" t="n">
        <v>45279</v>
      </c>
      <c r="F693" s="3" t="s">
        <v>1262</v>
      </c>
      <c r="G693" s="3" t="s">
        <v>1275</v>
      </c>
      <c r="H693" s="19"/>
      <c r="I693" s="19"/>
      <c r="J693" s="20"/>
      <c r="K693" s="20"/>
      <c r="L693" s="19"/>
      <c r="M693" s="19"/>
      <c r="N693" s="19"/>
      <c r="O693" s="20"/>
      <c r="P693" s="20"/>
    </row>
    <row r="694" customFormat="false" ht="14.25" hidden="false" customHeight="true" outlineLevel="0" collapsed="false">
      <c r="A694" s="3" t="s">
        <v>1259</v>
      </c>
      <c r="B694" s="3" t="s">
        <v>1260</v>
      </c>
      <c r="C694" s="3" t="n">
        <v>223041</v>
      </c>
      <c r="D694" s="3" t="s">
        <v>1283</v>
      </c>
      <c r="E694" s="18" t="n">
        <v>45293</v>
      </c>
      <c r="F694" s="3" t="s">
        <v>1262</v>
      </c>
      <c r="G694" s="3" t="s">
        <v>5</v>
      </c>
      <c r="H694" s="19"/>
      <c r="I694" s="19"/>
      <c r="J694" s="20"/>
      <c r="K694" s="20"/>
      <c r="L694" s="19"/>
      <c r="M694" s="19"/>
      <c r="N694" s="19"/>
      <c r="O694" s="20"/>
      <c r="P694" s="20"/>
    </row>
    <row r="695" customFormat="false" ht="14.25" hidden="false" customHeight="true" outlineLevel="0" collapsed="false">
      <c r="A695" s="3" t="s">
        <v>1259</v>
      </c>
      <c r="B695" s="3" t="s">
        <v>1260</v>
      </c>
      <c r="C695" s="3" t="n">
        <v>223041</v>
      </c>
      <c r="D695" s="3" t="s">
        <v>1286</v>
      </c>
      <c r="E695" s="18" t="n">
        <v>45314</v>
      </c>
      <c r="F695" s="3" t="s">
        <v>1262</v>
      </c>
      <c r="G695" s="3" t="s">
        <v>5</v>
      </c>
      <c r="H695" s="19"/>
      <c r="I695" s="19"/>
      <c r="J695" s="20"/>
      <c r="K695" s="20"/>
      <c r="L695" s="19"/>
      <c r="M695" s="19"/>
      <c r="N695" s="19"/>
      <c r="O695" s="20"/>
      <c r="P695" s="20"/>
    </row>
    <row r="696" customFormat="false" ht="14.25" hidden="false" customHeight="true" outlineLevel="0" collapsed="false">
      <c r="A696" s="3" t="s">
        <v>1259</v>
      </c>
      <c r="B696" s="3" t="s">
        <v>1260</v>
      </c>
      <c r="C696" s="3" t="n">
        <v>223041</v>
      </c>
      <c r="D696" s="3" t="s">
        <v>1301</v>
      </c>
      <c r="E696" s="18" t="n">
        <v>45314</v>
      </c>
      <c r="F696" s="3" t="s">
        <v>1262</v>
      </c>
      <c r="G696" s="3" t="s">
        <v>1275</v>
      </c>
      <c r="H696" s="19"/>
      <c r="I696" s="19"/>
      <c r="J696" s="20"/>
      <c r="K696" s="20"/>
      <c r="L696" s="19"/>
      <c r="M696" s="19"/>
      <c r="N696" s="19"/>
      <c r="O696" s="20"/>
      <c r="P696" s="20"/>
    </row>
    <row r="697" customFormat="false" ht="14.25" hidden="false" customHeight="true" outlineLevel="0" collapsed="false">
      <c r="A697" s="3" t="s">
        <v>1259</v>
      </c>
      <c r="B697" s="3" t="s">
        <v>1260</v>
      </c>
      <c r="C697" s="3" t="n">
        <v>223041</v>
      </c>
      <c r="D697" s="3" t="s">
        <v>1288</v>
      </c>
      <c r="E697" s="18" t="n">
        <v>45335</v>
      </c>
      <c r="F697" s="3" t="s">
        <v>1262</v>
      </c>
      <c r="G697" s="3" t="s">
        <v>5</v>
      </c>
      <c r="H697" s="19"/>
      <c r="I697" s="19"/>
      <c r="J697" s="20"/>
      <c r="K697" s="20"/>
      <c r="L697" s="19"/>
      <c r="M697" s="19"/>
      <c r="N697" s="19"/>
      <c r="O697" s="20"/>
      <c r="P697" s="20"/>
    </row>
    <row r="698" customFormat="false" ht="14.25" hidden="false" customHeight="true" outlineLevel="0" collapsed="false">
      <c r="A698" s="3" t="s">
        <v>1259</v>
      </c>
      <c r="B698" s="3" t="s">
        <v>1260</v>
      </c>
      <c r="C698" s="3" t="n">
        <v>223041</v>
      </c>
      <c r="D698" s="3" t="s">
        <v>1290</v>
      </c>
      <c r="E698" s="18" t="n">
        <v>45363</v>
      </c>
      <c r="F698" s="3" t="s">
        <v>1262</v>
      </c>
      <c r="G698" s="3" t="s">
        <v>5</v>
      </c>
      <c r="H698" s="19"/>
      <c r="I698" s="19"/>
      <c r="J698" s="20"/>
      <c r="K698" s="20"/>
      <c r="L698" s="19"/>
      <c r="M698" s="19"/>
      <c r="N698" s="19"/>
      <c r="O698" s="20"/>
      <c r="P698" s="20"/>
    </row>
    <row r="699" customFormat="false" ht="14.25" hidden="false" customHeight="true" outlineLevel="0" collapsed="false">
      <c r="A699" s="3" t="s">
        <v>1259</v>
      </c>
      <c r="B699" s="3" t="s">
        <v>1260</v>
      </c>
      <c r="C699" s="3" t="n">
        <v>223041</v>
      </c>
      <c r="D699" s="3" t="s">
        <v>1430</v>
      </c>
      <c r="E699" s="18" t="n">
        <v>45363</v>
      </c>
      <c r="F699" s="3" t="s">
        <v>1262</v>
      </c>
      <c r="G699" s="3" t="s">
        <v>1275</v>
      </c>
      <c r="H699" s="19"/>
      <c r="I699" s="19"/>
      <c r="J699" s="20"/>
      <c r="K699" s="20"/>
      <c r="L699" s="19"/>
      <c r="M699" s="19"/>
      <c r="N699" s="19"/>
      <c r="O699" s="20"/>
      <c r="P699" s="20"/>
    </row>
    <row r="700" customFormat="false" ht="14.25" hidden="false" customHeight="true" outlineLevel="0" collapsed="false">
      <c r="A700" s="3" t="s">
        <v>1259</v>
      </c>
      <c r="B700" s="3" t="s">
        <v>1260</v>
      </c>
      <c r="C700" s="3" t="n">
        <v>223041</v>
      </c>
      <c r="D700" s="3" t="s">
        <v>1293</v>
      </c>
      <c r="E700" s="18" t="n">
        <v>45377</v>
      </c>
      <c r="F700" s="3" t="s">
        <v>1262</v>
      </c>
      <c r="G700" s="3" t="s">
        <v>5</v>
      </c>
      <c r="H700" s="19"/>
      <c r="I700" s="19"/>
      <c r="J700" s="20"/>
      <c r="K700" s="20"/>
      <c r="L700" s="19"/>
      <c r="M700" s="19"/>
      <c r="N700" s="19"/>
      <c r="O700" s="20"/>
      <c r="P700" s="20"/>
    </row>
    <row r="701" customFormat="false" ht="14.25" hidden="false" customHeight="true" outlineLevel="0" collapsed="false">
      <c r="A701" s="3" t="s">
        <v>1259</v>
      </c>
      <c r="B701" s="3" t="s">
        <v>1260</v>
      </c>
      <c r="C701" s="3" t="n">
        <v>223041</v>
      </c>
      <c r="D701" s="3" t="s">
        <v>1295</v>
      </c>
      <c r="E701" s="18" t="n">
        <v>45398</v>
      </c>
      <c r="F701" s="3" t="s">
        <v>1262</v>
      </c>
      <c r="G701" s="3" t="s">
        <v>5</v>
      </c>
      <c r="H701" s="19"/>
      <c r="I701" s="19"/>
      <c r="J701" s="20"/>
      <c r="K701" s="20"/>
      <c r="L701" s="19"/>
      <c r="M701" s="19"/>
      <c r="N701" s="19"/>
      <c r="O701" s="20"/>
      <c r="P701" s="20"/>
    </row>
    <row r="702" customFormat="false" ht="14.25" hidden="false" customHeight="true" outlineLevel="0" collapsed="false">
      <c r="A702" s="3" t="s">
        <v>1259</v>
      </c>
      <c r="B702" s="3" t="s">
        <v>1260</v>
      </c>
      <c r="C702" s="3" t="n">
        <v>223041</v>
      </c>
      <c r="D702" s="3" t="s">
        <v>1375</v>
      </c>
      <c r="E702" s="18" t="n">
        <v>45398</v>
      </c>
      <c r="F702" s="3" t="s">
        <v>1262</v>
      </c>
      <c r="G702" s="3" t="s">
        <v>1275</v>
      </c>
      <c r="H702" s="19"/>
      <c r="I702" s="19"/>
      <c r="J702" s="20"/>
      <c r="K702" s="20"/>
      <c r="L702" s="19"/>
      <c r="M702" s="19"/>
      <c r="N702" s="19"/>
      <c r="O702" s="20"/>
      <c r="P702" s="20"/>
    </row>
    <row r="703" customFormat="false" ht="14.25" hidden="false" customHeight="true" outlineLevel="0" collapsed="false">
      <c r="A703" s="3" t="s">
        <v>1259</v>
      </c>
      <c r="B703" s="3" t="s">
        <v>1260</v>
      </c>
      <c r="C703" s="3" t="n">
        <v>223041</v>
      </c>
      <c r="D703" s="3" t="s">
        <v>1298</v>
      </c>
      <c r="E703" s="18" t="n">
        <v>45419</v>
      </c>
      <c r="F703" s="3" t="s">
        <v>1262</v>
      </c>
      <c r="G703" s="3" t="s">
        <v>5</v>
      </c>
      <c r="H703" s="19"/>
      <c r="I703" s="19"/>
      <c r="J703" s="20"/>
      <c r="K703" s="20"/>
      <c r="L703" s="19"/>
      <c r="M703" s="19"/>
      <c r="N703" s="19"/>
      <c r="O703" s="20"/>
      <c r="P703" s="20"/>
    </row>
    <row r="704" customFormat="false" ht="14.25" hidden="false" customHeight="true" outlineLevel="0" collapsed="false">
      <c r="A704" s="3" t="s">
        <v>1259</v>
      </c>
      <c r="B704" s="3" t="s">
        <v>1260</v>
      </c>
      <c r="C704" s="3" t="n">
        <v>223041</v>
      </c>
      <c r="D704" s="3" t="s">
        <v>1300</v>
      </c>
      <c r="E704" s="18" t="n">
        <v>45440</v>
      </c>
      <c r="F704" s="3" t="s">
        <v>1262</v>
      </c>
      <c r="G704" s="3" t="s">
        <v>5</v>
      </c>
      <c r="H704" s="19"/>
      <c r="I704" s="19"/>
      <c r="J704" s="20"/>
      <c r="K704" s="20"/>
      <c r="L704" s="19"/>
      <c r="M704" s="19"/>
      <c r="N704" s="19"/>
      <c r="O704" s="20"/>
      <c r="P704" s="20"/>
    </row>
    <row r="705" customFormat="false" ht="14.25" hidden="false" customHeight="true" outlineLevel="0" collapsed="false">
      <c r="A705" s="3" t="s">
        <v>1259</v>
      </c>
      <c r="B705" s="3" t="s">
        <v>1260</v>
      </c>
      <c r="C705" s="3" t="n">
        <v>223041</v>
      </c>
      <c r="D705" s="3" t="s">
        <v>1272</v>
      </c>
      <c r="F705" s="3" t="s">
        <v>1262</v>
      </c>
      <c r="G705" s="3" t="s">
        <v>5</v>
      </c>
      <c r="H705" s="19"/>
      <c r="I705" s="19"/>
      <c r="J705" s="20"/>
      <c r="K705" s="20"/>
      <c r="L705" s="19"/>
      <c r="M705" s="19"/>
      <c r="N705" s="19"/>
      <c r="O705" s="20"/>
      <c r="P705" s="20"/>
    </row>
    <row r="706" customFormat="false" ht="14.25" hidden="false" customHeight="true" outlineLevel="0" collapsed="false">
      <c r="A706" s="3" t="s">
        <v>1259</v>
      </c>
      <c r="B706" s="3" t="s">
        <v>1260</v>
      </c>
      <c r="C706" s="3" t="n">
        <v>223046</v>
      </c>
      <c r="D706" s="3" t="s">
        <v>1261</v>
      </c>
      <c r="E706" s="18" t="n">
        <v>45175</v>
      </c>
      <c r="F706" s="3" t="s">
        <v>1262</v>
      </c>
      <c r="G706" s="3" t="s">
        <v>5</v>
      </c>
      <c r="H706" s="19" t="n">
        <v>45175</v>
      </c>
      <c r="I706" s="19" t="n">
        <v>45054</v>
      </c>
      <c r="J706" s="20" t="n">
        <v>63</v>
      </c>
      <c r="K706" s="20" t="s">
        <v>1313</v>
      </c>
      <c r="L706" s="19" t="s">
        <v>12</v>
      </c>
      <c r="M706" s="19"/>
      <c r="N706" s="19"/>
      <c r="O706" s="20"/>
      <c r="P706" s="20"/>
    </row>
    <row r="707" customFormat="false" ht="14.25" hidden="false" customHeight="true" outlineLevel="0" collapsed="false">
      <c r="A707" s="3" t="s">
        <v>1259</v>
      </c>
      <c r="B707" s="3" t="s">
        <v>1260</v>
      </c>
      <c r="C707" s="3" t="n">
        <v>223046</v>
      </c>
      <c r="D707" s="3" t="s">
        <v>1264</v>
      </c>
      <c r="E707" s="18" t="n">
        <v>45194</v>
      </c>
      <c r="F707" s="3" t="s">
        <v>1262</v>
      </c>
      <c r="G707" s="3" t="s">
        <v>5</v>
      </c>
      <c r="H707" s="19"/>
      <c r="I707" s="19"/>
      <c r="J707" s="20"/>
      <c r="K707" s="20"/>
      <c r="L707" s="19"/>
      <c r="M707" s="19"/>
      <c r="N707" s="19"/>
      <c r="O707" s="20"/>
      <c r="P707" s="20"/>
    </row>
    <row r="708" customFormat="false" ht="14.25" hidden="false" customHeight="true" outlineLevel="0" collapsed="false">
      <c r="A708" s="3" t="s">
        <v>1259</v>
      </c>
      <c r="B708" s="3" t="s">
        <v>1260</v>
      </c>
      <c r="C708" s="3" t="n">
        <v>223046</v>
      </c>
      <c r="D708" s="3" t="s">
        <v>1265</v>
      </c>
      <c r="E708" s="18" t="n">
        <v>45196</v>
      </c>
      <c r="F708" s="3" t="s">
        <v>1262</v>
      </c>
      <c r="G708" s="3" t="s">
        <v>5</v>
      </c>
      <c r="H708" s="19"/>
      <c r="I708" s="19"/>
      <c r="J708" s="20"/>
      <c r="K708" s="20"/>
      <c r="L708" s="19"/>
      <c r="M708" s="19"/>
      <c r="N708" s="19"/>
      <c r="O708" s="20"/>
      <c r="P708" s="20"/>
    </row>
    <row r="709" customFormat="false" ht="14.25" hidden="false" customHeight="true" outlineLevel="0" collapsed="false">
      <c r="A709" s="3" t="s">
        <v>1259</v>
      </c>
      <c r="B709" s="3" t="s">
        <v>1260</v>
      </c>
      <c r="C709" s="3" t="n">
        <v>223046</v>
      </c>
      <c r="D709" s="3" t="s">
        <v>1266</v>
      </c>
      <c r="E709" s="18" t="n">
        <v>45204</v>
      </c>
      <c r="F709" s="3" t="s">
        <v>1262</v>
      </c>
      <c r="G709" s="3" t="s">
        <v>5</v>
      </c>
      <c r="H709" s="19"/>
      <c r="I709" s="19"/>
      <c r="J709" s="20"/>
      <c r="K709" s="20"/>
      <c r="L709" s="19"/>
      <c r="M709" s="19"/>
      <c r="N709" s="19"/>
      <c r="O709" s="20"/>
      <c r="P709" s="20"/>
    </row>
    <row r="710" customFormat="false" ht="14.25" hidden="false" customHeight="true" outlineLevel="0" collapsed="false">
      <c r="A710" s="3" t="s">
        <v>1259</v>
      </c>
      <c r="B710" s="3" t="s">
        <v>1260</v>
      </c>
      <c r="C710" s="3" t="n">
        <v>223046</v>
      </c>
      <c r="D710" s="3" t="s">
        <v>1269</v>
      </c>
      <c r="E710" s="18" t="n">
        <v>45209</v>
      </c>
      <c r="F710" s="3" t="s">
        <v>1262</v>
      </c>
      <c r="G710" s="3" t="s">
        <v>5</v>
      </c>
      <c r="H710" s="19"/>
      <c r="I710" s="19"/>
      <c r="J710" s="20"/>
      <c r="K710" s="20"/>
      <c r="L710" s="19"/>
      <c r="M710" s="19"/>
      <c r="N710" s="19"/>
      <c r="O710" s="20"/>
      <c r="P710" s="20"/>
    </row>
    <row r="711" customFormat="false" ht="14.25" hidden="false" customHeight="true" outlineLevel="0" collapsed="false">
      <c r="A711" s="3" t="s">
        <v>1259</v>
      </c>
      <c r="B711" s="3" t="s">
        <v>1260</v>
      </c>
      <c r="C711" s="3" t="n">
        <v>223046</v>
      </c>
      <c r="D711" s="3" t="s">
        <v>1271</v>
      </c>
      <c r="E711" s="18" t="n">
        <v>45216</v>
      </c>
      <c r="F711" s="3" t="s">
        <v>1262</v>
      </c>
      <c r="G711" s="3" t="s">
        <v>5</v>
      </c>
      <c r="H711" s="19"/>
      <c r="I711" s="19"/>
      <c r="J711" s="20"/>
      <c r="K711" s="20"/>
      <c r="L711" s="19"/>
      <c r="M711" s="19"/>
      <c r="N711" s="19"/>
      <c r="O711" s="20"/>
      <c r="P711" s="20"/>
    </row>
    <row r="712" customFormat="false" ht="14.25" hidden="false" customHeight="true" outlineLevel="0" collapsed="false">
      <c r="A712" s="3" t="s">
        <v>1259</v>
      </c>
      <c r="B712" s="3" t="s">
        <v>1260</v>
      </c>
      <c r="C712" s="3" t="n">
        <v>223046</v>
      </c>
      <c r="D712" s="3" t="s">
        <v>1272</v>
      </c>
      <c r="E712" s="18" t="n">
        <v>45218</v>
      </c>
      <c r="F712" s="3" t="s">
        <v>1262</v>
      </c>
      <c r="G712" s="3" t="s">
        <v>5</v>
      </c>
      <c r="H712" s="19"/>
      <c r="I712" s="19"/>
      <c r="J712" s="20"/>
      <c r="K712" s="20"/>
      <c r="L712" s="19"/>
      <c r="M712" s="19"/>
      <c r="N712" s="19"/>
      <c r="O712" s="20"/>
      <c r="P712" s="20"/>
    </row>
    <row r="713" customFormat="false" ht="14.25" hidden="false" customHeight="true" outlineLevel="0" collapsed="false">
      <c r="A713" s="3" t="s">
        <v>1259</v>
      </c>
      <c r="B713" s="3" t="s">
        <v>1260</v>
      </c>
      <c r="C713" s="3" t="n">
        <v>223046</v>
      </c>
      <c r="D713" s="3" t="s">
        <v>1276</v>
      </c>
      <c r="E713" s="18" t="n">
        <v>45239</v>
      </c>
      <c r="F713" s="3" t="s">
        <v>1262</v>
      </c>
      <c r="G713" s="3" t="s">
        <v>5</v>
      </c>
      <c r="H713" s="19"/>
      <c r="I713" s="19"/>
      <c r="J713" s="20"/>
      <c r="K713" s="20"/>
      <c r="L713" s="19"/>
      <c r="M713" s="19"/>
      <c r="N713" s="19"/>
      <c r="O713" s="20"/>
      <c r="P713" s="20"/>
    </row>
    <row r="714" customFormat="false" ht="14.25" hidden="false" customHeight="true" outlineLevel="0" collapsed="false">
      <c r="A714" s="3" t="s">
        <v>1259</v>
      </c>
      <c r="B714" s="3" t="s">
        <v>1260</v>
      </c>
      <c r="C714" s="3" t="n">
        <v>223046</v>
      </c>
      <c r="D714" s="3" t="s">
        <v>1431</v>
      </c>
      <c r="E714" s="18" t="n">
        <v>45239</v>
      </c>
      <c r="F714" s="3" t="s">
        <v>1262</v>
      </c>
      <c r="G714" s="3" t="s">
        <v>1275</v>
      </c>
      <c r="H714" s="19"/>
      <c r="I714" s="19"/>
      <c r="J714" s="20"/>
      <c r="K714" s="20"/>
      <c r="L714" s="19"/>
      <c r="M714" s="19"/>
      <c r="N714" s="19"/>
      <c r="O714" s="20"/>
      <c r="P714" s="20"/>
    </row>
    <row r="715" customFormat="false" ht="14.25" hidden="false" customHeight="true" outlineLevel="0" collapsed="false">
      <c r="A715" s="3" t="s">
        <v>1259</v>
      </c>
      <c r="B715" s="3" t="s">
        <v>1260</v>
      </c>
      <c r="C715" s="3" t="n">
        <v>223046</v>
      </c>
      <c r="D715" s="3" t="s">
        <v>1432</v>
      </c>
      <c r="E715" s="18" t="n">
        <v>45258</v>
      </c>
      <c r="F715" s="3" t="s">
        <v>1262</v>
      </c>
      <c r="G715" s="3" t="s">
        <v>1268</v>
      </c>
      <c r="H715" s="19"/>
      <c r="I715" s="19"/>
      <c r="J715" s="20"/>
      <c r="K715" s="20"/>
      <c r="L715" s="19"/>
      <c r="M715" s="19"/>
      <c r="N715" s="19"/>
      <c r="O715" s="20"/>
      <c r="P715" s="20"/>
    </row>
    <row r="716" customFormat="false" ht="14.25" hidden="false" customHeight="true" outlineLevel="0" collapsed="false">
      <c r="A716" s="3" t="s">
        <v>1259</v>
      </c>
      <c r="B716" s="3" t="s">
        <v>1260</v>
      </c>
      <c r="C716" s="3" t="n">
        <v>223046</v>
      </c>
      <c r="D716" s="3" t="s">
        <v>1278</v>
      </c>
      <c r="E716" s="18" t="n">
        <v>45259</v>
      </c>
      <c r="F716" s="3" t="s">
        <v>1262</v>
      </c>
      <c r="G716" s="3" t="s">
        <v>5</v>
      </c>
      <c r="H716" s="19"/>
      <c r="I716" s="19"/>
      <c r="J716" s="20"/>
      <c r="K716" s="20"/>
      <c r="L716" s="19"/>
      <c r="M716" s="19"/>
      <c r="N716" s="19"/>
      <c r="O716" s="20"/>
      <c r="P716" s="20"/>
    </row>
    <row r="717" customFormat="false" ht="14.25" hidden="false" customHeight="true" outlineLevel="0" collapsed="false">
      <c r="A717" s="3" t="s">
        <v>1259</v>
      </c>
      <c r="B717" s="3" t="s">
        <v>1260</v>
      </c>
      <c r="C717" s="3" t="n">
        <v>223046</v>
      </c>
      <c r="D717" s="3" t="s">
        <v>1281</v>
      </c>
      <c r="E717" s="18" t="n">
        <v>45279</v>
      </c>
      <c r="F717" s="3" t="s">
        <v>1262</v>
      </c>
      <c r="G717" s="3" t="s">
        <v>5</v>
      </c>
      <c r="H717" s="19"/>
      <c r="I717" s="19"/>
      <c r="J717" s="20"/>
      <c r="K717" s="20"/>
      <c r="L717" s="19"/>
      <c r="M717" s="19"/>
      <c r="N717" s="19"/>
      <c r="O717" s="20"/>
      <c r="P717" s="20"/>
    </row>
    <row r="718" customFormat="false" ht="14.25" hidden="false" customHeight="true" outlineLevel="0" collapsed="false">
      <c r="A718" s="3" t="s">
        <v>1259</v>
      </c>
      <c r="B718" s="3" t="s">
        <v>1260</v>
      </c>
      <c r="C718" s="3" t="n">
        <v>223046</v>
      </c>
      <c r="D718" s="3" t="s">
        <v>1402</v>
      </c>
      <c r="E718" s="18" t="n">
        <v>45279</v>
      </c>
      <c r="F718" s="3" t="s">
        <v>1262</v>
      </c>
      <c r="G718" s="3" t="s">
        <v>1275</v>
      </c>
      <c r="H718" s="19"/>
      <c r="I718" s="19"/>
      <c r="J718" s="20"/>
      <c r="K718" s="20"/>
      <c r="L718" s="19"/>
      <c r="M718" s="19"/>
      <c r="N718" s="19"/>
      <c r="O718" s="20"/>
      <c r="P718" s="20"/>
    </row>
    <row r="719" customFormat="false" ht="14.25" hidden="false" customHeight="true" outlineLevel="0" collapsed="false">
      <c r="A719" s="3" t="s">
        <v>1259</v>
      </c>
      <c r="B719" s="3" t="s">
        <v>1260</v>
      </c>
      <c r="C719" s="3" t="n">
        <v>223046</v>
      </c>
      <c r="D719" s="3" t="s">
        <v>1283</v>
      </c>
      <c r="E719" s="18" t="n">
        <v>45300</v>
      </c>
      <c r="F719" s="3" t="s">
        <v>1262</v>
      </c>
      <c r="G719" s="3" t="s">
        <v>5</v>
      </c>
      <c r="H719" s="19"/>
      <c r="I719" s="19"/>
      <c r="J719" s="20"/>
      <c r="K719" s="20"/>
      <c r="L719" s="19"/>
      <c r="M719" s="19"/>
      <c r="N719" s="19"/>
      <c r="O719" s="20"/>
      <c r="P719" s="20"/>
    </row>
    <row r="720" customFormat="false" ht="14.25" hidden="false" customHeight="true" outlineLevel="0" collapsed="false">
      <c r="A720" s="3" t="s">
        <v>1259</v>
      </c>
      <c r="B720" s="3" t="s">
        <v>1260</v>
      </c>
      <c r="C720" s="3" t="n">
        <v>223046</v>
      </c>
      <c r="D720" s="3" t="s">
        <v>1286</v>
      </c>
      <c r="E720" s="18" t="n">
        <v>45322</v>
      </c>
      <c r="F720" s="3" t="s">
        <v>1262</v>
      </c>
      <c r="G720" s="3" t="s">
        <v>5</v>
      </c>
      <c r="H720" s="19"/>
      <c r="I720" s="19"/>
      <c r="J720" s="20"/>
      <c r="K720" s="20"/>
      <c r="L720" s="19"/>
      <c r="M720" s="19"/>
      <c r="N720" s="19"/>
      <c r="O720" s="20"/>
      <c r="P720" s="20"/>
    </row>
    <row r="721" customFormat="false" ht="14.25" hidden="false" customHeight="true" outlineLevel="0" collapsed="false">
      <c r="A721" s="3" t="s">
        <v>1259</v>
      </c>
      <c r="B721" s="3" t="s">
        <v>1260</v>
      </c>
      <c r="C721" s="3" t="n">
        <v>223046</v>
      </c>
      <c r="D721" s="3" t="s">
        <v>1433</v>
      </c>
      <c r="E721" s="18" t="n">
        <v>45322</v>
      </c>
      <c r="F721" s="3" t="s">
        <v>1262</v>
      </c>
      <c r="G721" s="3" t="s">
        <v>1275</v>
      </c>
      <c r="H721" s="19"/>
      <c r="I721" s="19"/>
      <c r="J721" s="20"/>
      <c r="K721" s="20"/>
      <c r="L721" s="19"/>
      <c r="M721" s="19"/>
      <c r="N721" s="19"/>
      <c r="O721" s="20"/>
      <c r="P721" s="20"/>
    </row>
    <row r="722" customFormat="false" ht="14.25" hidden="false" customHeight="true" outlineLevel="0" collapsed="false">
      <c r="A722" s="3" t="s">
        <v>1259</v>
      </c>
      <c r="B722" s="3" t="s">
        <v>1260</v>
      </c>
      <c r="C722" s="3" t="n">
        <v>223046</v>
      </c>
      <c r="D722" s="3" t="s">
        <v>1288</v>
      </c>
      <c r="E722" s="18" t="n">
        <v>45344</v>
      </c>
      <c r="F722" s="3" t="s">
        <v>1262</v>
      </c>
      <c r="G722" s="3" t="s">
        <v>5</v>
      </c>
      <c r="H722" s="19"/>
      <c r="I722" s="19"/>
      <c r="J722" s="20"/>
      <c r="K722" s="20"/>
      <c r="L722" s="19"/>
      <c r="M722" s="19"/>
      <c r="N722" s="19"/>
      <c r="O722" s="20"/>
      <c r="P722" s="20"/>
    </row>
    <row r="723" customFormat="false" ht="14.25" hidden="false" customHeight="true" outlineLevel="0" collapsed="false">
      <c r="A723" s="3" t="s">
        <v>1259</v>
      </c>
      <c r="B723" s="3" t="s">
        <v>1260</v>
      </c>
      <c r="C723" s="3" t="n">
        <v>223046</v>
      </c>
      <c r="D723" s="3" t="s">
        <v>1290</v>
      </c>
      <c r="E723" s="18" t="n">
        <v>45364</v>
      </c>
      <c r="F723" s="3" t="s">
        <v>1262</v>
      </c>
      <c r="G723" s="3" t="s">
        <v>5</v>
      </c>
      <c r="H723" s="19"/>
      <c r="I723" s="19"/>
      <c r="J723" s="20"/>
      <c r="K723" s="20"/>
      <c r="L723" s="19"/>
      <c r="M723" s="19"/>
      <c r="N723" s="19"/>
      <c r="O723" s="20"/>
      <c r="P723" s="20"/>
    </row>
    <row r="724" customFormat="false" ht="14.25" hidden="false" customHeight="true" outlineLevel="0" collapsed="false">
      <c r="A724" s="3" t="s">
        <v>1259</v>
      </c>
      <c r="B724" s="3" t="s">
        <v>1260</v>
      </c>
      <c r="C724" s="3" t="n">
        <v>223046</v>
      </c>
      <c r="D724" s="3" t="s">
        <v>1434</v>
      </c>
      <c r="E724" s="18" t="n">
        <v>45364</v>
      </c>
      <c r="F724" s="3" t="s">
        <v>1262</v>
      </c>
      <c r="G724" s="3" t="s">
        <v>1275</v>
      </c>
      <c r="H724" s="19"/>
      <c r="I724" s="19"/>
      <c r="J724" s="20"/>
      <c r="K724" s="20"/>
      <c r="L724" s="19"/>
      <c r="M724" s="19"/>
      <c r="N724" s="19"/>
      <c r="O724" s="20"/>
      <c r="P724" s="20"/>
    </row>
    <row r="725" customFormat="false" ht="14.25" hidden="false" customHeight="true" outlineLevel="0" collapsed="false">
      <c r="A725" s="3" t="s">
        <v>1259</v>
      </c>
      <c r="B725" s="3" t="s">
        <v>1260</v>
      </c>
      <c r="C725" s="3" t="n">
        <v>223046</v>
      </c>
      <c r="D725" s="3" t="s">
        <v>1293</v>
      </c>
      <c r="E725" s="18" t="n">
        <v>45385</v>
      </c>
      <c r="F725" s="3" t="s">
        <v>1262</v>
      </c>
      <c r="G725" s="3" t="s">
        <v>5</v>
      </c>
      <c r="H725" s="19"/>
      <c r="I725" s="19"/>
      <c r="J725" s="20"/>
      <c r="K725" s="20"/>
      <c r="L725" s="19"/>
      <c r="M725" s="19"/>
      <c r="N725" s="19"/>
      <c r="O725" s="20"/>
      <c r="P725" s="20"/>
    </row>
    <row r="726" customFormat="false" ht="14.25" hidden="false" customHeight="true" outlineLevel="0" collapsed="false">
      <c r="A726" s="3" t="s">
        <v>1259</v>
      </c>
      <c r="B726" s="3" t="s">
        <v>1260</v>
      </c>
      <c r="C726" s="3" t="n">
        <v>223046</v>
      </c>
      <c r="D726" s="3" t="s">
        <v>1295</v>
      </c>
      <c r="E726" s="18" t="n">
        <v>45406</v>
      </c>
      <c r="F726" s="3" t="s">
        <v>1262</v>
      </c>
      <c r="G726" s="3" t="s">
        <v>5</v>
      </c>
      <c r="H726" s="19"/>
      <c r="I726" s="19"/>
      <c r="J726" s="20"/>
      <c r="K726" s="20"/>
      <c r="L726" s="19"/>
      <c r="M726" s="19"/>
      <c r="N726" s="19"/>
      <c r="O726" s="20"/>
      <c r="P726" s="20"/>
    </row>
    <row r="727" customFormat="false" ht="14.25" hidden="false" customHeight="true" outlineLevel="0" collapsed="false">
      <c r="A727" s="3" t="s">
        <v>1259</v>
      </c>
      <c r="B727" s="3" t="s">
        <v>1260</v>
      </c>
      <c r="C727" s="3" t="n">
        <v>223046</v>
      </c>
      <c r="D727" s="3" t="s">
        <v>1435</v>
      </c>
      <c r="E727" s="18" t="n">
        <v>45406</v>
      </c>
      <c r="F727" s="3" t="s">
        <v>1262</v>
      </c>
      <c r="G727" s="3" t="s">
        <v>1275</v>
      </c>
      <c r="H727" s="19"/>
      <c r="I727" s="19"/>
      <c r="J727" s="20"/>
      <c r="K727" s="20"/>
      <c r="L727" s="19"/>
      <c r="M727" s="19"/>
      <c r="N727" s="19"/>
      <c r="O727" s="20"/>
      <c r="P727" s="20"/>
    </row>
    <row r="728" customFormat="false" ht="14.25" hidden="false" customHeight="true" outlineLevel="0" collapsed="false">
      <c r="A728" s="3" t="s">
        <v>1259</v>
      </c>
      <c r="B728" s="3" t="s">
        <v>1260</v>
      </c>
      <c r="C728" s="3" t="n">
        <v>223046</v>
      </c>
      <c r="D728" s="3" t="s">
        <v>1298</v>
      </c>
      <c r="E728" s="18" t="n">
        <v>45426</v>
      </c>
      <c r="F728" s="3" t="s">
        <v>1262</v>
      </c>
      <c r="G728" s="3" t="s">
        <v>5</v>
      </c>
      <c r="H728" s="19"/>
      <c r="I728" s="19"/>
      <c r="J728" s="20"/>
      <c r="K728" s="20"/>
      <c r="L728" s="19"/>
      <c r="M728" s="19"/>
      <c r="N728" s="19"/>
      <c r="O728" s="20"/>
      <c r="P728" s="20"/>
    </row>
    <row r="729" customFormat="false" ht="14.25" hidden="false" customHeight="true" outlineLevel="0" collapsed="false">
      <c r="A729" s="3" t="s">
        <v>1259</v>
      </c>
      <c r="B729" s="3" t="s">
        <v>1260</v>
      </c>
      <c r="C729" s="3" t="n">
        <v>223047</v>
      </c>
      <c r="D729" s="3" t="s">
        <v>1261</v>
      </c>
      <c r="E729" s="18" t="n">
        <v>45175</v>
      </c>
      <c r="F729" s="3" t="s">
        <v>1333</v>
      </c>
      <c r="G729" s="3" t="s">
        <v>5</v>
      </c>
      <c r="H729" s="19" t="n">
        <v>45175</v>
      </c>
      <c r="I729" s="19" t="n">
        <v>45054</v>
      </c>
      <c r="J729" s="20" t="n">
        <v>64</v>
      </c>
      <c r="K729" s="20" t="s">
        <v>1263</v>
      </c>
      <c r="L729" s="19" t="s">
        <v>12</v>
      </c>
      <c r="M729" s="19" t="s">
        <v>1334</v>
      </c>
      <c r="N729" s="19" t="n">
        <v>45190</v>
      </c>
      <c r="O729" s="20"/>
      <c r="P729" s="20" t="s">
        <v>1335</v>
      </c>
    </row>
    <row r="730" customFormat="false" ht="14.25" hidden="false" customHeight="true" outlineLevel="0" collapsed="false">
      <c r="A730" s="3" t="s">
        <v>1259</v>
      </c>
      <c r="B730" s="3" t="s">
        <v>1260</v>
      </c>
      <c r="C730" s="3" t="n">
        <v>223048</v>
      </c>
      <c r="D730" s="3" t="s">
        <v>1261</v>
      </c>
      <c r="E730" s="18" t="n">
        <v>45176</v>
      </c>
      <c r="F730" s="3" t="s">
        <v>1262</v>
      </c>
      <c r="G730" s="3" t="s">
        <v>5</v>
      </c>
      <c r="H730" s="19" t="n">
        <v>45176</v>
      </c>
      <c r="I730" s="19" t="n">
        <v>45054</v>
      </c>
      <c r="J730" s="20" t="n">
        <v>81</v>
      </c>
      <c r="K730" s="20" t="s">
        <v>1263</v>
      </c>
      <c r="L730" s="19" t="s">
        <v>12</v>
      </c>
      <c r="M730" s="19" t="s">
        <v>1334</v>
      </c>
      <c r="N730" s="19" t="n">
        <v>45368</v>
      </c>
      <c r="O730" s="20" t="s">
        <v>1354</v>
      </c>
      <c r="P730" s="20"/>
    </row>
    <row r="731" customFormat="false" ht="14.25" hidden="false" customHeight="true" outlineLevel="0" collapsed="false">
      <c r="A731" s="3" t="s">
        <v>1259</v>
      </c>
      <c r="B731" s="3" t="s">
        <v>1260</v>
      </c>
      <c r="C731" s="3" t="n">
        <v>223048</v>
      </c>
      <c r="D731" s="3" t="s">
        <v>1264</v>
      </c>
      <c r="E731" s="18" t="n">
        <v>45189</v>
      </c>
      <c r="F731" s="3" t="s">
        <v>1262</v>
      </c>
      <c r="G731" s="3" t="s">
        <v>5</v>
      </c>
      <c r="H731" s="19"/>
      <c r="I731" s="19"/>
      <c r="J731" s="20"/>
      <c r="K731" s="20"/>
      <c r="L731" s="19"/>
      <c r="M731" s="19"/>
      <c r="N731" s="19"/>
      <c r="O731" s="20"/>
      <c r="P731" s="20"/>
    </row>
    <row r="732" customFormat="false" ht="14.25" hidden="false" customHeight="true" outlineLevel="0" collapsed="false">
      <c r="A732" s="3" t="s">
        <v>1259</v>
      </c>
      <c r="B732" s="3" t="s">
        <v>1260</v>
      </c>
      <c r="C732" s="3" t="n">
        <v>223048</v>
      </c>
      <c r="D732" s="3" t="s">
        <v>1265</v>
      </c>
      <c r="E732" s="18" t="n">
        <v>45191</v>
      </c>
      <c r="F732" s="3" t="s">
        <v>1262</v>
      </c>
      <c r="G732" s="3" t="s">
        <v>5</v>
      </c>
      <c r="H732" s="19"/>
      <c r="I732" s="19"/>
      <c r="J732" s="20"/>
      <c r="K732" s="20"/>
      <c r="L732" s="19"/>
      <c r="M732" s="19"/>
      <c r="N732" s="19"/>
      <c r="O732" s="20"/>
      <c r="P732" s="20"/>
    </row>
    <row r="733" customFormat="false" ht="14.25" hidden="false" customHeight="true" outlineLevel="0" collapsed="false">
      <c r="A733" s="3" t="s">
        <v>1259</v>
      </c>
      <c r="B733" s="3" t="s">
        <v>1260</v>
      </c>
      <c r="C733" s="3" t="n">
        <v>223048</v>
      </c>
      <c r="D733" s="3" t="s">
        <v>1266</v>
      </c>
      <c r="E733" s="18" t="n">
        <v>45196</v>
      </c>
      <c r="F733" s="3" t="s">
        <v>1262</v>
      </c>
      <c r="G733" s="3" t="s">
        <v>5</v>
      </c>
      <c r="H733" s="19"/>
      <c r="I733" s="19"/>
      <c r="J733" s="20"/>
      <c r="K733" s="20"/>
      <c r="L733" s="19"/>
      <c r="M733" s="19"/>
      <c r="N733" s="19"/>
      <c r="O733" s="20"/>
      <c r="P733" s="20"/>
    </row>
    <row r="734" customFormat="false" ht="14.25" hidden="false" customHeight="true" outlineLevel="0" collapsed="false">
      <c r="A734" s="3" t="s">
        <v>1259</v>
      </c>
      <c r="B734" s="3" t="s">
        <v>1260</v>
      </c>
      <c r="C734" s="3" t="n">
        <v>223048</v>
      </c>
      <c r="D734" s="3" t="s">
        <v>1269</v>
      </c>
      <c r="E734" s="18" t="n">
        <v>45203</v>
      </c>
      <c r="F734" s="3" t="s">
        <v>1262</v>
      </c>
      <c r="G734" s="3" t="s">
        <v>5</v>
      </c>
      <c r="H734" s="19"/>
      <c r="I734" s="19"/>
      <c r="J734" s="20"/>
      <c r="K734" s="20"/>
      <c r="L734" s="19"/>
      <c r="M734" s="19"/>
      <c r="N734" s="19"/>
      <c r="O734" s="20"/>
      <c r="P734" s="20"/>
    </row>
    <row r="735" customFormat="false" ht="14.25" hidden="false" customHeight="true" outlineLevel="0" collapsed="false">
      <c r="A735" s="3" t="s">
        <v>1259</v>
      </c>
      <c r="B735" s="3" t="s">
        <v>1260</v>
      </c>
      <c r="C735" s="3" t="n">
        <v>223048</v>
      </c>
      <c r="D735" s="3" t="s">
        <v>1271</v>
      </c>
      <c r="E735" s="18" t="n">
        <v>45210</v>
      </c>
      <c r="F735" s="3" t="s">
        <v>1262</v>
      </c>
      <c r="G735" s="3" t="s">
        <v>5</v>
      </c>
      <c r="H735" s="19"/>
      <c r="I735" s="19"/>
      <c r="J735" s="20"/>
      <c r="K735" s="20"/>
      <c r="L735" s="19"/>
      <c r="M735" s="19"/>
      <c r="N735" s="19"/>
      <c r="O735" s="20"/>
      <c r="P735" s="20"/>
    </row>
    <row r="736" customFormat="false" ht="14.25" hidden="false" customHeight="true" outlineLevel="0" collapsed="false">
      <c r="A736" s="3" t="s">
        <v>1259</v>
      </c>
      <c r="B736" s="3" t="s">
        <v>1260</v>
      </c>
      <c r="C736" s="3" t="n">
        <v>223048</v>
      </c>
      <c r="D736" s="3" t="s">
        <v>1272</v>
      </c>
      <c r="E736" s="18" t="n">
        <v>45212</v>
      </c>
      <c r="F736" s="3" t="s">
        <v>1262</v>
      </c>
      <c r="G736" s="3" t="s">
        <v>5</v>
      </c>
      <c r="H736" s="19"/>
      <c r="I736" s="19"/>
      <c r="J736" s="20"/>
      <c r="K736" s="20"/>
      <c r="L736" s="19"/>
      <c r="M736" s="19"/>
      <c r="N736" s="19"/>
      <c r="O736" s="20"/>
      <c r="P736" s="20"/>
    </row>
    <row r="737" customFormat="false" ht="14.25" hidden="false" customHeight="true" outlineLevel="0" collapsed="false">
      <c r="A737" s="3" t="s">
        <v>1259</v>
      </c>
      <c r="B737" s="3" t="s">
        <v>1260</v>
      </c>
      <c r="C737" s="3" t="n">
        <v>223048</v>
      </c>
      <c r="D737" s="3" t="s">
        <v>1436</v>
      </c>
      <c r="E737" s="18" t="n">
        <v>45218</v>
      </c>
      <c r="F737" s="3" t="s">
        <v>1262</v>
      </c>
      <c r="G737" s="3" t="s">
        <v>1268</v>
      </c>
      <c r="H737" s="19"/>
      <c r="I737" s="19"/>
      <c r="J737" s="20"/>
      <c r="K737" s="20"/>
      <c r="L737" s="19"/>
      <c r="M737" s="19"/>
      <c r="N737" s="19"/>
      <c r="O737" s="20"/>
      <c r="P737" s="20"/>
    </row>
    <row r="738" customFormat="false" ht="14.25" hidden="false" customHeight="true" outlineLevel="0" collapsed="false">
      <c r="A738" s="3" t="s">
        <v>1259</v>
      </c>
      <c r="B738" s="3" t="s">
        <v>1260</v>
      </c>
      <c r="C738" s="3" t="n">
        <v>223048</v>
      </c>
      <c r="D738" s="3" t="s">
        <v>1437</v>
      </c>
      <c r="E738" s="18" t="n">
        <v>45222</v>
      </c>
      <c r="F738" s="3" t="s">
        <v>1262</v>
      </c>
      <c r="G738" s="3" t="s">
        <v>1268</v>
      </c>
      <c r="H738" s="19"/>
      <c r="I738" s="19"/>
      <c r="J738" s="20"/>
      <c r="K738" s="20"/>
      <c r="L738" s="19"/>
      <c r="M738" s="19"/>
      <c r="N738" s="19"/>
      <c r="O738" s="20"/>
      <c r="P738" s="20"/>
    </row>
    <row r="739" customFormat="false" ht="14.25" hidden="false" customHeight="true" outlineLevel="0" collapsed="false">
      <c r="A739" s="3" t="s">
        <v>1259</v>
      </c>
      <c r="B739" s="3" t="s">
        <v>1260</v>
      </c>
      <c r="C739" s="3" t="n">
        <v>223048</v>
      </c>
      <c r="D739" s="3" t="s">
        <v>1276</v>
      </c>
      <c r="E739" s="18" t="n">
        <v>45231</v>
      </c>
      <c r="F739" s="3" t="s">
        <v>1262</v>
      </c>
      <c r="G739" s="3" t="s">
        <v>5</v>
      </c>
      <c r="H739" s="19"/>
      <c r="I739" s="19"/>
      <c r="J739" s="20"/>
      <c r="K739" s="20"/>
      <c r="L739" s="19"/>
      <c r="M739" s="19"/>
      <c r="N739" s="19"/>
      <c r="O739" s="20"/>
      <c r="P739" s="20"/>
    </row>
    <row r="740" customFormat="false" ht="14.25" hidden="false" customHeight="true" outlineLevel="0" collapsed="false">
      <c r="A740" s="3" t="s">
        <v>1259</v>
      </c>
      <c r="B740" s="3" t="s">
        <v>1260</v>
      </c>
      <c r="C740" s="3" t="n">
        <v>223048</v>
      </c>
      <c r="D740" s="3" t="s">
        <v>1438</v>
      </c>
      <c r="E740" s="18" t="n">
        <v>45231</v>
      </c>
      <c r="F740" s="3" t="s">
        <v>1262</v>
      </c>
      <c r="G740" s="3" t="s">
        <v>1275</v>
      </c>
      <c r="H740" s="19"/>
      <c r="I740" s="19"/>
      <c r="J740" s="20"/>
      <c r="K740" s="20"/>
      <c r="L740" s="19"/>
      <c r="M740" s="19"/>
      <c r="N740" s="19"/>
      <c r="O740" s="20"/>
      <c r="P740" s="20"/>
    </row>
    <row r="741" customFormat="false" ht="14.25" hidden="false" customHeight="true" outlineLevel="0" collapsed="false">
      <c r="A741" s="3" t="s">
        <v>1259</v>
      </c>
      <c r="B741" s="3" t="s">
        <v>1260</v>
      </c>
      <c r="C741" s="3" t="n">
        <v>223048</v>
      </c>
      <c r="D741" s="3" t="s">
        <v>1278</v>
      </c>
      <c r="E741" s="18" t="n">
        <v>45252</v>
      </c>
      <c r="F741" s="3" t="s">
        <v>1262</v>
      </c>
      <c r="G741" s="3" t="s">
        <v>5</v>
      </c>
      <c r="H741" s="19"/>
      <c r="I741" s="19"/>
      <c r="J741" s="20"/>
      <c r="K741" s="20"/>
      <c r="L741" s="19"/>
      <c r="M741" s="19"/>
      <c r="N741" s="19"/>
      <c r="O741" s="20"/>
      <c r="P741" s="20"/>
    </row>
    <row r="742" customFormat="false" ht="14.25" hidden="false" customHeight="true" outlineLevel="0" collapsed="false">
      <c r="A742" s="3" t="s">
        <v>1259</v>
      </c>
      <c r="B742" s="3" t="s">
        <v>1260</v>
      </c>
      <c r="C742" s="3" t="n">
        <v>223048</v>
      </c>
      <c r="D742" s="3" t="s">
        <v>1281</v>
      </c>
      <c r="E742" s="18" t="n">
        <v>45273</v>
      </c>
      <c r="F742" s="3" t="s">
        <v>1262</v>
      </c>
      <c r="G742" s="3" t="s">
        <v>5</v>
      </c>
      <c r="H742" s="19"/>
      <c r="I742" s="19"/>
      <c r="J742" s="20"/>
      <c r="K742" s="20"/>
      <c r="L742" s="19"/>
      <c r="M742" s="19"/>
      <c r="N742" s="19"/>
      <c r="O742" s="20"/>
      <c r="P742" s="20"/>
    </row>
    <row r="743" customFormat="false" ht="14.25" hidden="false" customHeight="true" outlineLevel="0" collapsed="false">
      <c r="A743" s="3" t="s">
        <v>1259</v>
      </c>
      <c r="B743" s="3" t="s">
        <v>1260</v>
      </c>
      <c r="C743" s="3" t="n">
        <v>223048</v>
      </c>
      <c r="D743" s="3" t="s">
        <v>1439</v>
      </c>
      <c r="E743" s="18" t="n">
        <v>45273</v>
      </c>
      <c r="F743" s="3" t="s">
        <v>1262</v>
      </c>
      <c r="G743" s="3" t="s">
        <v>1275</v>
      </c>
      <c r="H743" s="19"/>
      <c r="I743" s="19"/>
      <c r="J743" s="20"/>
      <c r="K743" s="20"/>
      <c r="L743" s="19"/>
      <c r="M743" s="19"/>
      <c r="N743" s="19"/>
      <c r="O743" s="20"/>
      <c r="P743" s="20"/>
    </row>
    <row r="744" customFormat="false" ht="14.25" hidden="false" customHeight="true" outlineLevel="0" collapsed="false">
      <c r="A744" s="3" t="s">
        <v>1259</v>
      </c>
      <c r="B744" s="3" t="s">
        <v>1260</v>
      </c>
      <c r="C744" s="3" t="n">
        <v>223048</v>
      </c>
      <c r="D744" s="3" t="s">
        <v>1283</v>
      </c>
      <c r="E744" s="18" t="n">
        <v>45294</v>
      </c>
      <c r="F744" s="3" t="s">
        <v>1262</v>
      </c>
      <c r="G744" s="3" t="s">
        <v>5</v>
      </c>
      <c r="H744" s="19"/>
      <c r="I744" s="19"/>
      <c r="J744" s="20"/>
      <c r="K744" s="20"/>
      <c r="L744" s="19"/>
      <c r="M744" s="19"/>
      <c r="N744" s="19"/>
      <c r="O744" s="20"/>
      <c r="P744" s="20"/>
    </row>
    <row r="745" customFormat="false" ht="14.25" hidden="false" customHeight="true" outlineLevel="0" collapsed="false">
      <c r="A745" s="3" t="s">
        <v>1259</v>
      </c>
      <c r="B745" s="3" t="s">
        <v>1260</v>
      </c>
      <c r="C745" s="3" t="n">
        <v>223048</v>
      </c>
      <c r="D745" s="3" t="s">
        <v>1286</v>
      </c>
      <c r="F745" s="3" t="s">
        <v>1262</v>
      </c>
      <c r="G745" s="3" t="s">
        <v>5</v>
      </c>
      <c r="H745" s="19"/>
      <c r="I745" s="19"/>
      <c r="J745" s="20"/>
      <c r="K745" s="20"/>
      <c r="L745" s="19"/>
      <c r="M745" s="19"/>
      <c r="N745" s="19"/>
      <c r="O745" s="20"/>
      <c r="P745" s="20"/>
    </row>
    <row r="746" customFormat="false" ht="14.25" hidden="false" customHeight="true" outlineLevel="0" collapsed="false">
      <c r="A746" s="3" t="s">
        <v>1259</v>
      </c>
      <c r="B746" s="3" t="s">
        <v>1260</v>
      </c>
      <c r="C746" s="3" t="n">
        <v>223048</v>
      </c>
      <c r="D746" s="3" t="s">
        <v>1288</v>
      </c>
      <c r="F746" s="3" t="s">
        <v>1262</v>
      </c>
      <c r="G746" s="3" t="s">
        <v>5</v>
      </c>
      <c r="H746" s="19"/>
      <c r="I746" s="19"/>
      <c r="J746" s="20"/>
      <c r="K746" s="20"/>
      <c r="L746" s="19"/>
      <c r="M746" s="19"/>
      <c r="N746" s="19"/>
      <c r="O746" s="20"/>
      <c r="P746" s="20"/>
    </row>
    <row r="747" customFormat="false" ht="14.25" hidden="false" customHeight="true" outlineLevel="0" collapsed="false">
      <c r="A747" s="3" t="s">
        <v>1259</v>
      </c>
      <c r="B747" s="3" t="s">
        <v>1260</v>
      </c>
      <c r="C747" s="3" t="n">
        <v>223048</v>
      </c>
      <c r="D747" s="3" t="s">
        <v>1290</v>
      </c>
      <c r="F747" s="3" t="s">
        <v>1262</v>
      </c>
      <c r="G747" s="3" t="s">
        <v>5</v>
      </c>
      <c r="H747" s="19"/>
      <c r="I747" s="19"/>
      <c r="J747" s="20"/>
      <c r="K747" s="20"/>
      <c r="L747" s="19"/>
      <c r="M747" s="19"/>
      <c r="N747" s="19"/>
      <c r="O747" s="20"/>
      <c r="P747" s="20"/>
    </row>
    <row r="748" customFormat="false" ht="14.25" hidden="false" customHeight="true" outlineLevel="0" collapsed="false">
      <c r="A748" s="3" t="s">
        <v>1259</v>
      </c>
      <c r="B748" s="3" t="s">
        <v>1260</v>
      </c>
      <c r="C748" s="3" t="n">
        <v>223048</v>
      </c>
      <c r="D748" s="3" t="s">
        <v>1440</v>
      </c>
      <c r="F748" s="3" t="s">
        <v>1262</v>
      </c>
      <c r="G748" s="3" t="s">
        <v>1275</v>
      </c>
      <c r="H748" s="19"/>
      <c r="I748" s="19"/>
      <c r="J748" s="20"/>
      <c r="K748" s="20"/>
      <c r="L748" s="19"/>
      <c r="M748" s="19"/>
      <c r="N748" s="19"/>
      <c r="O748" s="20"/>
      <c r="P748" s="20"/>
    </row>
    <row r="749" customFormat="false" ht="14.25" hidden="false" customHeight="true" outlineLevel="0" collapsed="false">
      <c r="A749" s="3" t="s">
        <v>1259</v>
      </c>
      <c r="B749" s="3" t="s">
        <v>1260</v>
      </c>
      <c r="C749" s="3" t="n">
        <v>223048</v>
      </c>
      <c r="D749" s="3" t="s">
        <v>1386</v>
      </c>
      <c r="F749" s="3" t="s">
        <v>1262</v>
      </c>
      <c r="G749" s="3" t="s">
        <v>1275</v>
      </c>
      <c r="H749" s="19"/>
      <c r="I749" s="19"/>
      <c r="J749" s="20"/>
      <c r="K749" s="20"/>
      <c r="L749" s="19"/>
      <c r="M749" s="19"/>
      <c r="N749" s="19"/>
      <c r="O749" s="20"/>
      <c r="P749" s="20"/>
    </row>
    <row r="750" customFormat="false" ht="14.25" hidden="false" customHeight="true" outlineLevel="0" collapsed="false">
      <c r="A750" s="3" t="s">
        <v>1259</v>
      </c>
      <c r="B750" s="3" t="s">
        <v>1260</v>
      </c>
      <c r="C750" s="3" t="n">
        <v>223057</v>
      </c>
      <c r="D750" s="3" t="s">
        <v>1261</v>
      </c>
      <c r="E750" s="18" t="n">
        <v>45183</v>
      </c>
      <c r="F750" s="3" t="s">
        <v>1262</v>
      </c>
      <c r="G750" s="3" t="s">
        <v>5</v>
      </c>
      <c r="H750" s="19" t="n">
        <v>45183</v>
      </c>
      <c r="I750" s="19" t="n">
        <v>45054</v>
      </c>
      <c r="J750" s="20" t="n">
        <v>67</v>
      </c>
      <c r="K750" s="20" t="s">
        <v>1313</v>
      </c>
      <c r="L750" s="19" t="s">
        <v>12</v>
      </c>
      <c r="M750" s="19"/>
      <c r="N750" s="19"/>
      <c r="O750" s="20"/>
      <c r="P750" s="20"/>
    </row>
    <row r="751" customFormat="false" ht="14.25" hidden="false" customHeight="true" outlineLevel="0" collapsed="false">
      <c r="A751" s="3" t="s">
        <v>1259</v>
      </c>
      <c r="B751" s="3" t="s">
        <v>1260</v>
      </c>
      <c r="C751" s="3" t="n">
        <v>223057</v>
      </c>
      <c r="D751" s="3" t="s">
        <v>1441</v>
      </c>
      <c r="E751" s="18" t="n">
        <v>45191</v>
      </c>
      <c r="F751" s="3" t="s">
        <v>1262</v>
      </c>
      <c r="G751" s="3" t="s">
        <v>1268</v>
      </c>
      <c r="H751" s="19"/>
      <c r="I751" s="19"/>
      <c r="J751" s="20"/>
      <c r="K751" s="20"/>
      <c r="L751" s="19"/>
      <c r="M751" s="19"/>
      <c r="N751" s="19"/>
      <c r="O751" s="20"/>
      <c r="P751" s="20"/>
    </row>
    <row r="752" customFormat="false" ht="14.25" hidden="false" customHeight="true" outlineLevel="0" collapsed="false">
      <c r="A752" s="3" t="s">
        <v>1259</v>
      </c>
      <c r="B752" s="3" t="s">
        <v>1260</v>
      </c>
      <c r="C752" s="3" t="n">
        <v>223057</v>
      </c>
      <c r="D752" s="3" t="s">
        <v>1264</v>
      </c>
      <c r="E752" s="18" t="n">
        <v>45209</v>
      </c>
      <c r="F752" s="3" t="s">
        <v>1262</v>
      </c>
      <c r="G752" s="3" t="s">
        <v>5</v>
      </c>
      <c r="H752" s="19"/>
      <c r="I752" s="19"/>
      <c r="J752" s="20"/>
      <c r="K752" s="20"/>
      <c r="L752" s="19"/>
      <c r="M752" s="19"/>
      <c r="N752" s="19"/>
      <c r="O752" s="20"/>
      <c r="P752" s="20"/>
    </row>
    <row r="753" customFormat="false" ht="14.25" hidden="false" customHeight="true" outlineLevel="0" collapsed="false">
      <c r="A753" s="3" t="s">
        <v>1259</v>
      </c>
      <c r="B753" s="3" t="s">
        <v>1260</v>
      </c>
      <c r="C753" s="3" t="n">
        <v>223057</v>
      </c>
      <c r="D753" s="3" t="s">
        <v>1265</v>
      </c>
      <c r="E753" s="18" t="n">
        <v>45211</v>
      </c>
      <c r="F753" s="3" t="s">
        <v>1262</v>
      </c>
      <c r="G753" s="3" t="s">
        <v>5</v>
      </c>
      <c r="H753" s="19"/>
      <c r="I753" s="19"/>
      <c r="J753" s="20"/>
      <c r="K753" s="20"/>
      <c r="L753" s="19"/>
      <c r="M753" s="19"/>
      <c r="N753" s="19"/>
      <c r="O753" s="20"/>
      <c r="P753" s="20"/>
    </row>
    <row r="754" customFormat="false" ht="14.25" hidden="false" customHeight="true" outlineLevel="0" collapsed="false">
      <c r="A754" s="3" t="s">
        <v>1259</v>
      </c>
      <c r="B754" s="3" t="s">
        <v>1260</v>
      </c>
      <c r="C754" s="3" t="n">
        <v>223057</v>
      </c>
      <c r="D754" s="3" t="s">
        <v>1266</v>
      </c>
      <c r="E754" s="18" t="n">
        <v>45216</v>
      </c>
      <c r="F754" s="3" t="s">
        <v>1262</v>
      </c>
      <c r="G754" s="3" t="s">
        <v>5</v>
      </c>
      <c r="H754" s="19"/>
      <c r="I754" s="19"/>
      <c r="J754" s="20"/>
      <c r="K754" s="20"/>
      <c r="L754" s="19"/>
      <c r="M754" s="19"/>
      <c r="N754" s="19"/>
      <c r="O754" s="20"/>
      <c r="P754" s="20"/>
    </row>
    <row r="755" customFormat="false" ht="14.25" hidden="false" customHeight="true" outlineLevel="0" collapsed="false">
      <c r="A755" s="3" t="s">
        <v>1259</v>
      </c>
      <c r="B755" s="3" t="s">
        <v>1260</v>
      </c>
      <c r="C755" s="3" t="n">
        <v>223057</v>
      </c>
      <c r="D755" s="3" t="s">
        <v>1269</v>
      </c>
      <c r="E755" s="18" t="n">
        <v>45222</v>
      </c>
      <c r="F755" s="3" t="s">
        <v>1262</v>
      </c>
      <c r="G755" s="3" t="s">
        <v>5</v>
      </c>
      <c r="H755" s="19"/>
      <c r="I755" s="19"/>
      <c r="J755" s="20"/>
      <c r="K755" s="20"/>
      <c r="L755" s="19"/>
      <c r="M755" s="19"/>
      <c r="N755" s="19"/>
      <c r="O755" s="20"/>
      <c r="P755" s="20"/>
    </row>
    <row r="756" customFormat="false" ht="14.25" hidden="false" customHeight="true" outlineLevel="0" collapsed="false">
      <c r="A756" s="3" t="s">
        <v>1259</v>
      </c>
      <c r="B756" s="3" t="s">
        <v>1260</v>
      </c>
      <c r="C756" s="3" t="n">
        <v>223057</v>
      </c>
      <c r="D756" s="3" t="s">
        <v>1271</v>
      </c>
      <c r="E756" s="18" t="n">
        <v>45229</v>
      </c>
      <c r="F756" s="3" t="s">
        <v>1262</v>
      </c>
      <c r="G756" s="3" t="s">
        <v>5</v>
      </c>
      <c r="H756" s="19"/>
      <c r="I756" s="19"/>
      <c r="J756" s="20"/>
      <c r="K756" s="20"/>
      <c r="L756" s="19"/>
      <c r="M756" s="19"/>
      <c r="N756" s="19"/>
      <c r="O756" s="20"/>
      <c r="P756" s="20"/>
    </row>
    <row r="757" customFormat="false" ht="14.25" hidden="false" customHeight="true" outlineLevel="0" collapsed="false">
      <c r="A757" s="3" t="s">
        <v>1259</v>
      </c>
      <c r="B757" s="3" t="s">
        <v>1260</v>
      </c>
      <c r="C757" s="3" t="n">
        <v>223057</v>
      </c>
      <c r="D757" s="3" t="s">
        <v>1272</v>
      </c>
      <c r="E757" s="18" t="n">
        <v>45231</v>
      </c>
      <c r="F757" s="3" t="s">
        <v>1262</v>
      </c>
      <c r="G757" s="3" t="s">
        <v>5</v>
      </c>
      <c r="H757" s="19"/>
      <c r="I757" s="19"/>
      <c r="J757" s="20"/>
      <c r="K757" s="20"/>
      <c r="L757" s="19"/>
      <c r="M757" s="19"/>
      <c r="N757" s="19"/>
      <c r="O757" s="20"/>
      <c r="P757" s="20"/>
    </row>
    <row r="758" customFormat="false" ht="14.25" hidden="false" customHeight="true" outlineLevel="0" collapsed="false">
      <c r="A758" s="3" t="s">
        <v>1259</v>
      </c>
      <c r="B758" s="3" t="s">
        <v>1260</v>
      </c>
      <c r="C758" s="3" t="n">
        <v>223057</v>
      </c>
      <c r="D758" s="3" t="s">
        <v>1276</v>
      </c>
      <c r="E758" s="18" t="n">
        <v>45251</v>
      </c>
      <c r="F758" s="3" t="s">
        <v>1262</v>
      </c>
      <c r="G758" s="3" t="s">
        <v>5</v>
      </c>
      <c r="H758" s="19"/>
      <c r="I758" s="19"/>
      <c r="J758" s="20"/>
      <c r="K758" s="20"/>
      <c r="L758" s="19"/>
      <c r="M758" s="19"/>
      <c r="N758" s="19"/>
      <c r="O758" s="20"/>
      <c r="P758" s="20"/>
    </row>
    <row r="759" customFormat="false" ht="14.25" hidden="false" customHeight="true" outlineLevel="0" collapsed="false">
      <c r="A759" s="3" t="s">
        <v>1259</v>
      </c>
      <c r="B759" s="3" t="s">
        <v>1260</v>
      </c>
      <c r="C759" s="3" t="n">
        <v>223057</v>
      </c>
      <c r="D759" s="3" t="s">
        <v>1442</v>
      </c>
      <c r="E759" s="18" t="n">
        <v>45251</v>
      </c>
      <c r="F759" s="3" t="s">
        <v>1262</v>
      </c>
      <c r="G759" s="3" t="s">
        <v>1275</v>
      </c>
      <c r="H759" s="19"/>
      <c r="I759" s="19"/>
      <c r="J759" s="20"/>
      <c r="K759" s="20"/>
      <c r="L759" s="19"/>
      <c r="M759" s="19"/>
      <c r="N759" s="19"/>
      <c r="O759" s="20"/>
      <c r="P759" s="20"/>
    </row>
    <row r="760" customFormat="false" ht="14.25" hidden="false" customHeight="true" outlineLevel="0" collapsed="false">
      <c r="A760" s="3" t="s">
        <v>1259</v>
      </c>
      <c r="B760" s="3" t="s">
        <v>1260</v>
      </c>
      <c r="C760" s="3" t="n">
        <v>223057</v>
      </c>
      <c r="D760" s="3" t="s">
        <v>1278</v>
      </c>
      <c r="E760" s="18" t="n">
        <v>45272</v>
      </c>
      <c r="F760" s="3" t="s">
        <v>1262</v>
      </c>
      <c r="G760" s="3" t="s">
        <v>5</v>
      </c>
      <c r="H760" s="19"/>
      <c r="I760" s="19"/>
      <c r="J760" s="20"/>
      <c r="K760" s="20"/>
      <c r="L760" s="19"/>
      <c r="M760" s="19"/>
      <c r="N760" s="19"/>
      <c r="O760" s="20"/>
      <c r="P760" s="20"/>
    </row>
    <row r="761" customFormat="false" ht="14.25" hidden="false" customHeight="true" outlineLevel="0" collapsed="false">
      <c r="A761" s="3" t="s">
        <v>1259</v>
      </c>
      <c r="B761" s="3" t="s">
        <v>1260</v>
      </c>
      <c r="C761" s="3" t="n">
        <v>223057</v>
      </c>
      <c r="D761" s="3" t="s">
        <v>1365</v>
      </c>
      <c r="E761" s="18" t="n">
        <v>45286</v>
      </c>
      <c r="F761" s="3" t="s">
        <v>1262</v>
      </c>
      <c r="G761" s="3" t="s">
        <v>1275</v>
      </c>
      <c r="H761" s="19"/>
      <c r="I761" s="19"/>
      <c r="J761" s="20"/>
      <c r="K761" s="20"/>
      <c r="L761" s="19"/>
      <c r="M761" s="19"/>
      <c r="N761" s="19"/>
      <c r="O761" s="20"/>
      <c r="P761" s="20"/>
    </row>
    <row r="762" customFormat="false" ht="14.25" hidden="false" customHeight="true" outlineLevel="0" collapsed="false">
      <c r="A762" s="3" t="s">
        <v>1259</v>
      </c>
      <c r="B762" s="3" t="s">
        <v>1260</v>
      </c>
      <c r="C762" s="3" t="n">
        <v>223057</v>
      </c>
      <c r="D762" s="3" t="s">
        <v>1281</v>
      </c>
      <c r="E762" s="18" t="n">
        <v>45295</v>
      </c>
      <c r="F762" s="3" t="s">
        <v>1262</v>
      </c>
      <c r="G762" s="3" t="s">
        <v>5</v>
      </c>
      <c r="H762" s="19"/>
      <c r="I762" s="19"/>
      <c r="J762" s="20"/>
      <c r="K762" s="20"/>
      <c r="L762" s="19"/>
      <c r="M762" s="19"/>
      <c r="N762" s="19"/>
      <c r="O762" s="20"/>
      <c r="P762" s="20"/>
    </row>
    <row r="763" customFormat="false" ht="14.25" hidden="false" customHeight="true" outlineLevel="0" collapsed="false">
      <c r="A763" s="3" t="s">
        <v>1259</v>
      </c>
      <c r="B763" s="3" t="s">
        <v>1260</v>
      </c>
      <c r="C763" s="3" t="n">
        <v>223057</v>
      </c>
      <c r="D763" s="3" t="s">
        <v>1283</v>
      </c>
      <c r="E763" s="18" t="n">
        <v>45314</v>
      </c>
      <c r="F763" s="3" t="s">
        <v>1262</v>
      </c>
      <c r="G763" s="3" t="s">
        <v>5</v>
      </c>
      <c r="H763" s="19"/>
      <c r="I763" s="19"/>
      <c r="J763" s="20"/>
      <c r="K763" s="20"/>
      <c r="L763" s="19"/>
      <c r="M763" s="19"/>
      <c r="N763" s="19"/>
      <c r="O763" s="20"/>
      <c r="P763" s="20"/>
    </row>
    <row r="764" customFormat="false" ht="14.25" hidden="false" customHeight="true" outlineLevel="0" collapsed="false">
      <c r="A764" s="3" t="s">
        <v>1259</v>
      </c>
      <c r="B764" s="3" t="s">
        <v>1260</v>
      </c>
      <c r="C764" s="3" t="n">
        <v>223057</v>
      </c>
      <c r="D764" s="3" t="s">
        <v>1411</v>
      </c>
      <c r="E764" s="18" t="n">
        <v>45329</v>
      </c>
      <c r="F764" s="3" t="s">
        <v>1262</v>
      </c>
      <c r="G764" s="3" t="s">
        <v>1275</v>
      </c>
      <c r="H764" s="19"/>
      <c r="I764" s="19"/>
      <c r="J764" s="20"/>
      <c r="K764" s="20"/>
      <c r="L764" s="19"/>
      <c r="M764" s="19"/>
      <c r="N764" s="19"/>
      <c r="O764" s="20"/>
      <c r="P764" s="20"/>
    </row>
    <row r="765" customFormat="false" ht="14.25" hidden="false" customHeight="true" outlineLevel="0" collapsed="false">
      <c r="A765" s="3" t="s">
        <v>1259</v>
      </c>
      <c r="B765" s="3" t="s">
        <v>1260</v>
      </c>
      <c r="C765" s="3" t="n">
        <v>223057</v>
      </c>
      <c r="D765" s="3" t="s">
        <v>1286</v>
      </c>
      <c r="E765" s="18" t="n">
        <v>45335</v>
      </c>
      <c r="F765" s="3" t="s">
        <v>1262</v>
      </c>
      <c r="G765" s="3" t="s">
        <v>5</v>
      </c>
      <c r="H765" s="19"/>
      <c r="I765" s="19"/>
      <c r="J765" s="20"/>
      <c r="K765" s="20"/>
      <c r="L765" s="19"/>
      <c r="M765" s="19"/>
      <c r="N765" s="19"/>
      <c r="O765" s="20"/>
      <c r="P765" s="20"/>
    </row>
    <row r="766" customFormat="false" ht="14.25" hidden="false" customHeight="true" outlineLevel="0" collapsed="false">
      <c r="A766" s="3" t="s">
        <v>1259</v>
      </c>
      <c r="B766" s="3" t="s">
        <v>1260</v>
      </c>
      <c r="C766" s="3" t="n">
        <v>223057</v>
      </c>
      <c r="D766" s="3" t="s">
        <v>1288</v>
      </c>
      <c r="E766" s="18" t="n">
        <v>45356</v>
      </c>
      <c r="F766" s="3" t="s">
        <v>1262</v>
      </c>
      <c r="G766" s="3" t="s">
        <v>5</v>
      </c>
      <c r="H766" s="19"/>
      <c r="I766" s="19"/>
      <c r="J766" s="20"/>
      <c r="K766" s="20"/>
      <c r="L766" s="19"/>
      <c r="M766" s="19"/>
      <c r="N766" s="19"/>
      <c r="O766" s="20"/>
      <c r="P766" s="20"/>
    </row>
    <row r="767" customFormat="false" ht="14.25" hidden="false" customHeight="true" outlineLevel="0" collapsed="false">
      <c r="A767" s="3" t="s">
        <v>1259</v>
      </c>
      <c r="B767" s="3" t="s">
        <v>1260</v>
      </c>
      <c r="C767" s="3" t="n">
        <v>223057</v>
      </c>
      <c r="D767" s="3" t="s">
        <v>1306</v>
      </c>
      <c r="E767" s="18" t="n">
        <v>45370</v>
      </c>
      <c r="F767" s="3" t="s">
        <v>1262</v>
      </c>
      <c r="G767" s="3" t="s">
        <v>1275</v>
      </c>
      <c r="H767" s="19"/>
      <c r="I767" s="19"/>
      <c r="J767" s="20"/>
      <c r="K767" s="20"/>
      <c r="L767" s="19"/>
      <c r="M767" s="19"/>
      <c r="N767" s="19"/>
      <c r="O767" s="20"/>
      <c r="P767" s="20"/>
    </row>
    <row r="768" customFormat="false" ht="14.25" hidden="false" customHeight="true" outlineLevel="0" collapsed="false">
      <c r="A768" s="3" t="s">
        <v>1259</v>
      </c>
      <c r="B768" s="3" t="s">
        <v>1260</v>
      </c>
      <c r="C768" s="3" t="n">
        <v>223057</v>
      </c>
      <c r="D768" s="3" t="s">
        <v>1290</v>
      </c>
      <c r="E768" s="18" t="n">
        <v>45377</v>
      </c>
      <c r="F768" s="3" t="s">
        <v>1262</v>
      </c>
      <c r="G768" s="3" t="s">
        <v>5</v>
      </c>
      <c r="H768" s="19"/>
      <c r="I768" s="19"/>
      <c r="J768" s="20"/>
      <c r="K768" s="20"/>
      <c r="L768" s="19"/>
      <c r="M768" s="19"/>
      <c r="N768" s="19"/>
      <c r="O768" s="20"/>
      <c r="P768" s="20"/>
    </row>
    <row r="769" customFormat="false" ht="14.25" hidden="false" customHeight="true" outlineLevel="0" collapsed="false">
      <c r="A769" s="3" t="s">
        <v>1259</v>
      </c>
      <c r="B769" s="3" t="s">
        <v>1260</v>
      </c>
      <c r="C769" s="3" t="n">
        <v>223057</v>
      </c>
      <c r="D769" s="3" t="s">
        <v>1293</v>
      </c>
      <c r="E769" s="18" t="n">
        <v>45398</v>
      </c>
      <c r="F769" s="3" t="s">
        <v>1262</v>
      </c>
      <c r="G769" s="3" t="s">
        <v>5</v>
      </c>
      <c r="H769" s="19"/>
      <c r="I769" s="19"/>
      <c r="J769" s="20"/>
      <c r="K769" s="20"/>
      <c r="L769" s="19"/>
      <c r="M769" s="19"/>
      <c r="N769" s="19"/>
      <c r="O769" s="20"/>
      <c r="P769" s="20"/>
    </row>
    <row r="770" customFormat="false" ht="14.25" hidden="false" customHeight="true" outlineLevel="0" collapsed="false">
      <c r="A770" s="3" t="s">
        <v>1259</v>
      </c>
      <c r="B770" s="3" t="s">
        <v>1260</v>
      </c>
      <c r="C770" s="3" t="n">
        <v>223057</v>
      </c>
      <c r="D770" s="3" t="s">
        <v>1295</v>
      </c>
      <c r="E770" s="18" t="n">
        <v>45419</v>
      </c>
      <c r="F770" s="3" t="s">
        <v>1262</v>
      </c>
      <c r="G770" s="3" t="s">
        <v>5</v>
      </c>
      <c r="H770" s="19"/>
      <c r="I770" s="19"/>
      <c r="J770" s="20"/>
      <c r="K770" s="20"/>
      <c r="L770" s="19"/>
      <c r="M770" s="19"/>
      <c r="N770" s="19"/>
      <c r="O770" s="20"/>
      <c r="P770" s="20"/>
    </row>
    <row r="771" customFormat="false" ht="14.25" hidden="false" customHeight="true" outlineLevel="0" collapsed="false">
      <c r="A771" s="3" t="s">
        <v>1259</v>
      </c>
      <c r="B771" s="3" t="s">
        <v>1260</v>
      </c>
      <c r="C771" s="3" t="n">
        <v>223061</v>
      </c>
      <c r="D771" s="3" t="s">
        <v>1261</v>
      </c>
      <c r="E771" s="18" t="n">
        <v>45190</v>
      </c>
      <c r="F771" s="3" t="s">
        <v>1262</v>
      </c>
      <c r="G771" s="3" t="s">
        <v>5</v>
      </c>
      <c r="H771" s="19" t="n">
        <v>45189</v>
      </c>
      <c r="I771" s="19" t="n">
        <v>45054</v>
      </c>
      <c r="J771" s="20" t="n">
        <v>42</v>
      </c>
      <c r="K771" s="20" t="s">
        <v>1313</v>
      </c>
      <c r="L771" s="19" t="s">
        <v>12</v>
      </c>
      <c r="M771" s="19"/>
      <c r="N771" s="19"/>
      <c r="O771" s="20"/>
      <c r="P771" s="20"/>
    </row>
    <row r="772" customFormat="false" ht="14.25" hidden="false" customHeight="true" outlineLevel="0" collapsed="false">
      <c r="A772" s="3" t="s">
        <v>1259</v>
      </c>
      <c r="B772" s="3" t="s">
        <v>1260</v>
      </c>
      <c r="C772" s="3" t="n">
        <v>223061</v>
      </c>
      <c r="D772" s="3" t="s">
        <v>1264</v>
      </c>
      <c r="E772" s="18" t="n">
        <v>45215</v>
      </c>
      <c r="F772" s="3" t="s">
        <v>1262</v>
      </c>
      <c r="G772" s="3" t="s">
        <v>5</v>
      </c>
      <c r="H772" s="19"/>
      <c r="I772" s="19"/>
      <c r="J772" s="20"/>
      <c r="K772" s="20"/>
      <c r="L772" s="19"/>
      <c r="M772" s="19"/>
      <c r="N772" s="19"/>
      <c r="O772" s="20"/>
      <c r="P772" s="20"/>
    </row>
    <row r="773" customFormat="false" ht="14.25" hidden="false" customHeight="true" outlineLevel="0" collapsed="false">
      <c r="A773" s="3" t="s">
        <v>1259</v>
      </c>
      <c r="B773" s="3" t="s">
        <v>1260</v>
      </c>
      <c r="C773" s="3" t="n">
        <v>223061</v>
      </c>
      <c r="D773" s="3" t="s">
        <v>1265</v>
      </c>
      <c r="E773" s="18" t="n">
        <v>45217</v>
      </c>
      <c r="F773" s="3" t="s">
        <v>1262</v>
      </c>
      <c r="G773" s="3" t="s">
        <v>5</v>
      </c>
      <c r="H773" s="19"/>
      <c r="I773" s="19"/>
      <c r="J773" s="20"/>
      <c r="K773" s="20"/>
      <c r="L773" s="19"/>
      <c r="M773" s="19"/>
      <c r="N773" s="19"/>
      <c r="O773" s="20"/>
      <c r="P773" s="20"/>
    </row>
    <row r="774" customFormat="false" ht="14.25" hidden="false" customHeight="true" outlineLevel="0" collapsed="false">
      <c r="A774" s="3" t="s">
        <v>1259</v>
      </c>
      <c r="B774" s="3" t="s">
        <v>1260</v>
      </c>
      <c r="C774" s="3" t="n">
        <v>223061</v>
      </c>
      <c r="D774" s="3" t="s">
        <v>1266</v>
      </c>
      <c r="E774" s="18" t="n">
        <v>45222</v>
      </c>
      <c r="F774" s="3" t="s">
        <v>1262</v>
      </c>
      <c r="G774" s="3" t="s">
        <v>5</v>
      </c>
      <c r="H774" s="19"/>
      <c r="I774" s="19"/>
      <c r="J774" s="20"/>
      <c r="K774" s="20"/>
      <c r="L774" s="19"/>
      <c r="M774" s="19"/>
      <c r="N774" s="19"/>
      <c r="O774" s="20"/>
      <c r="P774" s="20"/>
    </row>
    <row r="775" customFormat="false" ht="14.25" hidden="false" customHeight="true" outlineLevel="0" collapsed="false">
      <c r="A775" s="3" t="s">
        <v>1259</v>
      </c>
      <c r="B775" s="3" t="s">
        <v>1260</v>
      </c>
      <c r="C775" s="3" t="n">
        <v>223061</v>
      </c>
      <c r="D775" s="3" t="s">
        <v>1269</v>
      </c>
      <c r="E775" s="18" t="n">
        <v>45229</v>
      </c>
      <c r="F775" s="3" t="s">
        <v>1262</v>
      </c>
      <c r="G775" s="3" t="s">
        <v>5</v>
      </c>
      <c r="H775" s="19"/>
      <c r="I775" s="19"/>
      <c r="J775" s="20"/>
      <c r="K775" s="20"/>
      <c r="L775" s="19"/>
      <c r="M775" s="19"/>
      <c r="N775" s="19"/>
      <c r="O775" s="20"/>
      <c r="P775" s="20"/>
    </row>
    <row r="776" customFormat="false" ht="14.25" hidden="false" customHeight="true" outlineLevel="0" collapsed="false">
      <c r="A776" s="3" t="s">
        <v>1259</v>
      </c>
      <c r="B776" s="3" t="s">
        <v>1260</v>
      </c>
      <c r="C776" s="3" t="n">
        <v>223061</v>
      </c>
      <c r="D776" s="3" t="s">
        <v>1271</v>
      </c>
      <c r="E776" s="18" t="n">
        <v>45236</v>
      </c>
      <c r="F776" s="3" t="s">
        <v>1262</v>
      </c>
      <c r="G776" s="3" t="s">
        <v>5</v>
      </c>
      <c r="H776" s="19"/>
      <c r="I776" s="19"/>
      <c r="J776" s="20"/>
      <c r="K776" s="20"/>
      <c r="L776" s="19"/>
      <c r="M776" s="19"/>
      <c r="N776" s="19"/>
      <c r="O776" s="20"/>
      <c r="P776" s="20"/>
    </row>
    <row r="777" customFormat="false" ht="14.25" hidden="false" customHeight="true" outlineLevel="0" collapsed="false">
      <c r="A777" s="3" t="s">
        <v>1259</v>
      </c>
      <c r="B777" s="3" t="s">
        <v>1260</v>
      </c>
      <c r="C777" s="3" t="n">
        <v>223061</v>
      </c>
      <c r="D777" s="3" t="s">
        <v>1272</v>
      </c>
      <c r="E777" s="18" t="n">
        <v>45238</v>
      </c>
      <c r="F777" s="3" t="s">
        <v>1262</v>
      </c>
      <c r="G777" s="3" t="s">
        <v>5</v>
      </c>
      <c r="H777" s="19"/>
      <c r="I777" s="19"/>
      <c r="J777" s="20"/>
      <c r="K777" s="20"/>
      <c r="L777" s="19"/>
      <c r="M777" s="19"/>
      <c r="N777" s="19"/>
      <c r="O777" s="20"/>
      <c r="P777" s="20"/>
    </row>
    <row r="778" customFormat="false" ht="14.25" hidden="false" customHeight="true" outlineLevel="0" collapsed="false">
      <c r="A778" s="3" t="s">
        <v>1259</v>
      </c>
      <c r="B778" s="3" t="s">
        <v>1260</v>
      </c>
      <c r="C778" s="3" t="n">
        <v>223061</v>
      </c>
      <c r="D778" s="3" t="s">
        <v>1276</v>
      </c>
      <c r="E778" s="18" t="n">
        <v>45257</v>
      </c>
      <c r="F778" s="3" t="s">
        <v>1262</v>
      </c>
      <c r="G778" s="3" t="s">
        <v>5</v>
      </c>
      <c r="H778" s="19"/>
      <c r="I778" s="19"/>
      <c r="J778" s="20"/>
      <c r="K778" s="20"/>
      <c r="L778" s="19"/>
      <c r="M778" s="19"/>
      <c r="N778" s="19"/>
      <c r="O778" s="20"/>
      <c r="P778" s="20"/>
    </row>
    <row r="779" customFormat="false" ht="14.25" hidden="false" customHeight="true" outlineLevel="0" collapsed="false">
      <c r="A779" s="3" t="s">
        <v>1259</v>
      </c>
      <c r="B779" s="3" t="s">
        <v>1260</v>
      </c>
      <c r="C779" s="3" t="n">
        <v>223061</v>
      </c>
      <c r="D779" s="3" t="s">
        <v>1443</v>
      </c>
      <c r="E779" s="18" t="n">
        <v>45257</v>
      </c>
      <c r="F779" s="3" t="s">
        <v>1262</v>
      </c>
      <c r="G779" s="3" t="s">
        <v>1275</v>
      </c>
      <c r="H779" s="19"/>
      <c r="I779" s="19"/>
      <c r="J779" s="20"/>
      <c r="K779" s="20"/>
      <c r="L779" s="19"/>
      <c r="M779" s="19"/>
      <c r="N779" s="19"/>
      <c r="O779" s="20"/>
      <c r="P779" s="20"/>
    </row>
    <row r="780" customFormat="false" ht="14.25" hidden="false" customHeight="true" outlineLevel="0" collapsed="false">
      <c r="A780" s="3" t="s">
        <v>1259</v>
      </c>
      <c r="B780" s="3" t="s">
        <v>1260</v>
      </c>
      <c r="C780" s="3" t="n">
        <v>223061</v>
      </c>
      <c r="D780" s="3" t="s">
        <v>1444</v>
      </c>
      <c r="E780" s="18" t="n">
        <v>45264</v>
      </c>
      <c r="F780" s="3" t="s">
        <v>1262</v>
      </c>
      <c r="G780" s="3" t="s">
        <v>1268</v>
      </c>
      <c r="H780" s="19"/>
      <c r="I780" s="19"/>
      <c r="J780" s="20"/>
      <c r="K780" s="20"/>
      <c r="L780" s="19"/>
      <c r="M780" s="19"/>
      <c r="N780" s="19"/>
      <c r="O780" s="20"/>
      <c r="P780" s="20"/>
    </row>
    <row r="781" customFormat="false" ht="14.25" hidden="false" customHeight="true" outlineLevel="0" collapsed="false">
      <c r="A781" s="3" t="s">
        <v>1259</v>
      </c>
      <c r="B781" s="3" t="s">
        <v>1260</v>
      </c>
      <c r="C781" s="3" t="n">
        <v>223061</v>
      </c>
      <c r="D781" s="3" t="s">
        <v>1278</v>
      </c>
      <c r="E781" s="18" t="n">
        <v>45271</v>
      </c>
      <c r="F781" s="3" t="s">
        <v>1262</v>
      </c>
      <c r="G781" s="3" t="s">
        <v>5</v>
      </c>
      <c r="H781" s="19"/>
      <c r="I781" s="19"/>
      <c r="J781" s="20"/>
      <c r="K781" s="20"/>
      <c r="L781" s="19"/>
      <c r="M781" s="19"/>
      <c r="N781" s="19"/>
      <c r="O781" s="20"/>
      <c r="P781" s="20"/>
    </row>
    <row r="782" customFormat="false" ht="14.25" hidden="false" customHeight="true" outlineLevel="0" collapsed="false">
      <c r="A782" s="3" t="s">
        <v>1259</v>
      </c>
      <c r="B782" s="3" t="s">
        <v>1260</v>
      </c>
      <c r="C782" s="3" t="n">
        <v>223061</v>
      </c>
      <c r="D782" s="3" t="s">
        <v>1281</v>
      </c>
      <c r="E782" s="18" t="n">
        <v>45295</v>
      </c>
      <c r="F782" s="3" t="s">
        <v>1262</v>
      </c>
      <c r="G782" s="3" t="s">
        <v>5</v>
      </c>
      <c r="H782" s="19"/>
      <c r="I782" s="19"/>
      <c r="J782" s="20"/>
      <c r="K782" s="20"/>
      <c r="L782" s="19"/>
      <c r="M782" s="19"/>
      <c r="N782" s="19"/>
      <c r="O782" s="20"/>
      <c r="P782" s="20"/>
    </row>
    <row r="783" customFormat="false" ht="14.25" hidden="false" customHeight="true" outlineLevel="0" collapsed="false">
      <c r="A783" s="3" t="s">
        <v>1259</v>
      </c>
      <c r="B783" s="3" t="s">
        <v>1260</v>
      </c>
      <c r="C783" s="3" t="n">
        <v>223061</v>
      </c>
      <c r="D783" s="3" t="s">
        <v>1445</v>
      </c>
      <c r="E783" s="18" t="n">
        <v>45295</v>
      </c>
      <c r="F783" s="3" t="s">
        <v>1262</v>
      </c>
      <c r="G783" s="3" t="s">
        <v>1275</v>
      </c>
      <c r="H783" s="19"/>
      <c r="I783" s="19"/>
      <c r="J783" s="20"/>
      <c r="K783" s="20"/>
      <c r="L783" s="19"/>
      <c r="M783" s="19"/>
      <c r="N783" s="19"/>
      <c r="O783" s="20"/>
      <c r="P783" s="20"/>
    </row>
    <row r="784" customFormat="false" ht="14.25" hidden="false" customHeight="true" outlineLevel="0" collapsed="false">
      <c r="A784" s="3" t="s">
        <v>1259</v>
      </c>
      <c r="B784" s="3" t="s">
        <v>1260</v>
      </c>
      <c r="C784" s="3" t="n">
        <v>223061</v>
      </c>
      <c r="D784" s="3" t="s">
        <v>1283</v>
      </c>
      <c r="E784" s="18" t="n">
        <v>45320</v>
      </c>
      <c r="F784" s="3" t="s">
        <v>1262</v>
      </c>
      <c r="G784" s="3" t="s">
        <v>5</v>
      </c>
      <c r="H784" s="19"/>
      <c r="I784" s="19"/>
      <c r="J784" s="20"/>
      <c r="K784" s="20"/>
      <c r="L784" s="19"/>
      <c r="M784" s="19"/>
      <c r="N784" s="19"/>
      <c r="O784" s="20"/>
      <c r="P784" s="20"/>
    </row>
    <row r="785" customFormat="false" ht="14.25" hidden="false" customHeight="true" outlineLevel="0" collapsed="false">
      <c r="A785" s="3" t="s">
        <v>1259</v>
      </c>
      <c r="B785" s="3" t="s">
        <v>1260</v>
      </c>
      <c r="C785" s="3" t="n">
        <v>223061</v>
      </c>
      <c r="D785" s="3" t="s">
        <v>1352</v>
      </c>
      <c r="E785" s="18" t="n">
        <v>45336</v>
      </c>
      <c r="F785" s="3" t="s">
        <v>1262</v>
      </c>
      <c r="G785" s="3" t="s">
        <v>1275</v>
      </c>
      <c r="H785" s="19"/>
      <c r="I785" s="19"/>
      <c r="J785" s="20"/>
      <c r="K785" s="20"/>
      <c r="L785" s="19"/>
      <c r="M785" s="19"/>
      <c r="N785" s="19"/>
      <c r="O785" s="20"/>
      <c r="P785" s="20"/>
    </row>
    <row r="786" customFormat="false" ht="14.25" hidden="false" customHeight="true" outlineLevel="0" collapsed="false">
      <c r="A786" s="3" t="s">
        <v>1259</v>
      </c>
      <c r="B786" s="3" t="s">
        <v>1260</v>
      </c>
      <c r="C786" s="3" t="n">
        <v>223061</v>
      </c>
      <c r="D786" s="3" t="s">
        <v>1286</v>
      </c>
      <c r="E786" s="18" t="n">
        <v>45344</v>
      </c>
      <c r="F786" s="3" t="s">
        <v>1262</v>
      </c>
      <c r="G786" s="3" t="s">
        <v>5</v>
      </c>
      <c r="H786" s="19"/>
      <c r="I786" s="19"/>
      <c r="J786" s="20"/>
      <c r="K786" s="20"/>
      <c r="L786" s="19"/>
      <c r="M786" s="19"/>
      <c r="N786" s="19"/>
      <c r="O786" s="20"/>
      <c r="P786" s="20"/>
    </row>
    <row r="787" customFormat="false" ht="14.25" hidden="false" customHeight="true" outlineLevel="0" collapsed="false">
      <c r="A787" s="3" t="s">
        <v>1259</v>
      </c>
      <c r="B787" s="3" t="s">
        <v>1260</v>
      </c>
      <c r="C787" s="3" t="n">
        <v>223061</v>
      </c>
      <c r="D787" s="3" t="s">
        <v>1288</v>
      </c>
      <c r="E787" s="18" t="n">
        <v>45365</v>
      </c>
      <c r="F787" s="3" t="s">
        <v>1262</v>
      </c>
      <c r="G787" s="3" t="s">
        <v>5</v>
      </c>
      <c r="H787" s="19"/>
      <c r="I787" s="19"/>
      <c r="J787" s="20"/>
      <c r="K787" s="20"/>
      <c r="L787" s="19"/>
      <c r="M787" s="19"/>
      <c r="N787" s="19"/>
      <c r="O787" s="20"/>
      <c r="P787" s="20"/>
    </row>
    <row r="788" customFormat="false" ht="14.25" hidden="false" customHeight="true" outlineLevel="0" collapsed="false">
      <c r="A788" s="3" t="s">
        <v>1259</v>
      </c>
      <c r="B788" s="3" t="s">
        <v>1260</v>
      </c>
      <c r="C788" s="3" t="n">
        <v>223061</v>
      </c>
      <c r="D788" s="3" t="s">
        <v>1446</v>
      </c>
      <c r="E788" s="18" t="n">
        <v>45385</v>
      </c>
      <c r="F788" s="3" t="s">
        <v>1262</v>
      </c>
      <c r="G788" s="3" t="s">
        <v>1275</v>
      </c>
      <c r="H788" s="19"/>
      <c r="I788" s="19"/>
      <c r="J788" s="20"/>
      <c r="K788" s="20"/>
      <c r="L788" s="19"/>
      <c r="M788" s="19"/>
      <c r="N788" s="19"/>
      <c r="O788" s="20"/>
      <c r="P788" s="20"/>
    </row>
    <row r="789" customFormat="false" ht="14.25" hidden="false" customHeight="true" outlineLevel="0" collapsed="false">
      <c r="A789" s="3" t="s">
        <v>1259</v>
      </c>
      <c r="B789" s="3" t="s">
        <v>1260</v>
      </c>
      <c r="C789" s="3" t="n">
        <v>223061</v>
      </c>
      <c r="D789" s="3" t="s">
        <v>1290</v>
      </c>
      <c r="E789" s="18" t="n">
        <v>45386</v>
      </c>
      <c r="F789" s="3" t="s">
        <v>1262</v>
      </c>
      <c r="G789" s="3" t="s">
        <v>5</v>
      </c>
      <c r="H789" s="19"/>
      <c r="I789" s="19"/>
      <c r="J789" s="20"/>
      <c r="K789" s="20"/>
      <c r="L789" s="19"/>
      <c r="M789" s="19"/>
      <c r="N789" s="19"/>
      <c r="O789" s="20"/>
      <c r="P789" s="20"/>
    </row>
    <row r="790" customFormat="false" ht="14.25" hidden="false" customHeight="true" outlineLevel="0" collapsed="false">
      <c r="A790" s="3" t="s">
        <v>1259</v>
      </c>
      <c r="B790" s="3" t="s">
        <v>1260</v>
      </c>
      <c r="C790" s="3" t="n">
        <v>223061</v>
      </c>
      <c r="D790" s="3" t="s">
        <v>1293</v>
      </c>
      <c r="E790" s="18" t="n">
        <v>45406</v>
      </c>
      <c r="F790" s="3" t="s">
        <v>1262</v>
      </c>
      <c r="G790" s="3" t="s">
        <v>5</v>
      </c>
      <c r="H790" s="19"/>
      <c r="I790" s="19"/>
      <c r="J790" s="20"/>
      <c r="K790" s="20"/>
      <c r="L790" s="19"/>
      <c r="M790" s="19"/>
      <c r="N790" s="19"/>
      <c r="O790" s="20"/>
      <c r="P790" s="20"/>
    </row>
    <row r="791" customFormat="false" ht="14.25" hidden="false" customHeight="true" outlineLevel="0" collapsed="false">
      <c r="A791" s="3" t="s">
        <v>1259</v>
      </c>
      <c r="B791" s="3" t="s">
        <v>1260</v>
      </c>
      <c r="C791" s="3" t="n">
        <v>223061</v>
      </c>
      <c r="D791" s="3" t="s">
        <v>1295</v>
      </c>
      <c r="E791" s="18" t="n">
        <v>45425</v>
      </c>
      <c r="F791" s="3" t="s">
        <v>1262</v>
      </c>
      <c r="G791" s="3" t="s">
        <v>5</v>
      </c>
      <c r="H791" s="19"/>
      <c r="I791" s="19"/>
      <c r="J791" s="20"/>
      <c r="K791" s="20"/>
      <c r="L791" s="19"/>
      <c r="M791" s="19"/>
      <c r="N791" s="19"/>
      <c r="O791" s="20"/>
      <c r="P791" s="20"/>
    </row>
    <row r="792" customFormat="false" ht="14.25" hidden="false" customHeight="true" outlineLevel="0" collapsed="false">
      <c r="A792" s="3" t="s">
        <v>1259</v>
      </c>
      <c r="B792" s="3" t="s">
        <v>1260</v>
      </c>
      <c r="C792" s="3" t="n">
        <v>223061</v>
      </c>
      <c r="D792" s="3" t="s">
        <v>1311</v>
      </c>
      <c r="E792" s="18" t="n">
        <v>45426</v>
      </c>
      <c r="F792" s="3" t="s">
        <v>1262</v>
      </c>
      <c r="G792" s="3" t="s">
        <v>1275</v>
      </c>
      <c r="H792" s="19"/>
      <c r="I792" s="19"/>
      <c r="J792" s="20"/>
      <c r="K792" s="20"/>
      <c r="L792" s="19"/>
      <c r="M792" s="19"/>
      <c r="N792" s="19"/>
      <c r="O792" s="20"/>
      <c r="P792" s="20"/>
    </row>
    <row r="793" customFormat="false" ht="14.25" hidden="false" customHeight="true" outlineLevel="0" collapsed="false">
      <c r="A793" s="3" t="s">
        <v>1259</v>
      </c>
      <c r="B793" s="3" t="s">
        <v>1260</v>
      </c>
      <c r="C793" s="3" t="n">
        <v>223063</v>
      </c>
      <c r="D793" s="3" t="s">
        <v>1261</v>
      </c>
      <c r="E793" s="18" t="n">
        <v>45191</v>
      </c>
      <c r="F793" s="3" t="s">
        <v>1262</v>
      </c>
      <c r="G793" s="3" t="s">
        <v>5</v>
      </c>
      <c r="H793" s="19" t="n">
        <v>45191</v>
      </c>
      <c r="I793" s="19" t="n">
        <v>45054</v>
      </c>
      <c r="J793" s="20" t="n">
        <v>60</v>
      </c>
      <c r="K793" s="20" t="s">
        <v>1313</v>
      </c>
      <c r="L793" s="19" t="s">
        <v>12</v>
      </c>
      <c r="M793" s="19"/>
      <c r="N793" s="19"/>
      <c r="O793" s="20"/>
      <c r="P793" s="20"/>
    </row>
    <row r="794" customFormat="false" ht="14.25" hidden="false" customHeight="true" outlineLevel="0" collapsed="false">
      <c r="A794" s="3" t="s">
        <v>1259</v>
      </c>
      <c r="B794" s="3" t="s">
        <v>1260</v>
      </c>
      <c r="C794" s="3" t="n">
        <v>223063</v>
      </c>
      <c r="D794" s="3" t="s">
        <v>1264</v>
      </c>
      <c r="E794" s="18" t="n">
        <v>45217</v>
      </c>
      <c r="F794" s="3" t="s">
        <v>1262</v>
      </c>
      <c r="G794" s="3" t="s">
        <v>5</v>
      </c>
      <c r="H794" s="19"/>
      <c r="I794" s="19"/>
      <c r="J794" s="20"/>
      <c r="K794" s="20"/>
      <c r="L794" s="19"/>
      <c r="M794" s="19"/>
      <c r="N794" s="19"/>
      <c r="O794" s="20"/>
      <c r="P794" s="20"/>
    </row>
    <row r="795" customFormat="false" ht="14.25" hidden="false" customHeight="true" outlineLevel="0" collapsed="false">
      <c r="A795" s="3" t="s">
        <v>1259</v>
      </c>
      <c r="B795" s="3" t="s">
        <v>1260</v>
      </c>
      <c r="C795" s="3" t="n">
        <v>223063</v>
      </c>
      <c r="D795" s="3" t="s">
        <v>1265</v>
      </c>
      <c r="E795" s="18" t="n">
        <v>45219</v>
      </c>
      <c r="F795" s="3" t="s">
        <v>1262</v>
      </c>
      <c r="G795" s="3" t="s">
        <v>5</v>
      </c>
      <c r="H795" s="19"/>
      <c r="I795" s="19"/>
      <c r="J795" s="20"/>
      <c r="K795" s="20"/>
      <c r="L795" s="19"/>
      <c r="M795" s="19"/>
      <c r="N795" s="19"/>
      <c r="O795" s="20"/>
      <c r="P795" s="20"/>
    </row>
    <row r="796" customFormat="false" ht="14.25" hidden="false" customHeight="true" outlineLevel="0" collapsed="false">
      <c r="A796" s="3" t="s">
        <v>1259</v>
      </c>
      <c r="B796" s="3" t="s">
        <v>1260</v>
      </c>
      <c r="C796" s="3" t="n">
        <v>223063</v>
      </c>
      <c r="D796" s="3" t="s">
        <v>1266</v>
      </c>
      <c r="E796" s="18" t="n">
        <v>45224</v>
      </c>
      <c r="F796" s="3" t="s">
        <v>1262</v>
      </c>
      <c r="G796" s="3" t="s">
        <v>5</v>
      </c>
      <c r="H796" s="19"/>
      <c r="I796" s="19"/>
      <c r="J796" s="20"/>
      <c r="K796" s="20"/>
      <c r="L796" s="19"/>
      <c r="M796" s="19"/>
      <c r="N796" s="19"/>
      <c r="O796" s="20"/>
      <c r="P796" s="20"/>
    </row>
    <row r="797" customFormat="false" ht="14.25" hidden="false" customHeight="true" outlineLevel="0" collapsed="false">
      <c r="A797" s="3" t="s">
        <v>1259</v>
      </c>
      <c r="B797" s="3" t="s">
        <v>1260</v>
      </c>
      <c r="C797" s="3" t="n">
        <v>223063</v>
      </c>
      <c r="D797" s="3" t="s">
        <v>1269</v>
      </c>
      <c r="E797" s="18" t="n">
        <v>45231</v>
      </c>
      <c r="F797" s="3" t="s">
        <v>1262</v>
      </c>
      <c r="G797" s="3" t="s">
        <v>5</v>
      </c>
      <c r="H797" s="19"/>
      <c r="I797" s="19"/>
      <c r="J797" s="20"/>
      <c r="K797" s="20"/>
      <c r="L797" s="19"/>
      <c r="M797" s="19"/>
      <c r="N797" s="19"/>
      <c r="O797" s="20"/>
      <c r="P797" s="20"/>
    </row>
    <row r="798" customFormat="false" ht="14.25" hidden="false" customHeight="true" outlineLevel="0" collapsed="false">
      <c r="A798" s="3" t="s">
        <v>1259</v>
      </c>
      <c r="B798" s="3" t="s">
        <v>1260</v>
      </c>
      <c r="C798" s="3" t="n">
        <v>223063</v>
      </c>
      <c r="D798" s="3" t="s">
        <v>1271</v>
      </c>
      <c r="E798" s="18" t="n">
        <v>45237</v>
      </c>
      <c r="F798" s="3" t="s">
        <v>1262</v>
      </c>
      <c r="G798" s="3" t="s">
        <v>5</v>
      </c>
      <c r="H798" s="19"/>
      <c r="I798" s="19"/>
      <c r="J798" s="20"/>
      <c r="K798" s="20"/>
      <c r="L798" s="19"/>
      <c r="M798" s="19"/>
      <c r="N798" s="19"/>
      <c r="O798" s="20"/>
      <c r="P798" s="20"/>
    </row>
    <row r="799" customFormat="false" ht="14.25" hidden="false" customHeight="true" outlineLevel="0" collapsed="false">
      <c r="A799" s="3" t="s">
        <v>1259</v>
      </c>
      <c r="B799" s="3" t="s">
        <v>1260</v>
      </c>
      <c r="C799" s="3" t="n">
        <v>223063</v>
      </c>
      <c r="D799" s="3" t="s">
        <v>1272</v>
      </c>
      <c r="E799" s="18" t="n">
        <v>45239</v>
      </c>
      <c r="F799" s="3" t="s">
        <v>1262</v>
      </c>
      <c r="G799" s="3" t="s">
        <v>5</v>
      </c>
      <c r="H799" s="19"/>
      <c r="I799" s="19"/>
      <c r="J799" s="20"/>
      <c r="K799" s="20"/>
      <c r="L799" s="19"/>
      <c r="M799" s="19"/>
      <c r="N799" s="19"/>
      <c r="O799" s="20"/>
      <c r="P799" s="20"/>
    </row>
    <row r="800" customFormat="false" ht="14.25" hidden="false" customHeight="true" outlineLevel="0" collapsed="false">
      <c r="A800" s="3" t="s">
        <v>1259</v>
      </c>
      <c r="B800" s="3" t="s">
        <v>1260</v>
      </c>
      <c r="C800" s="3" t="n">
        <v>223063</v>
      </c>
      <c r="D800" s="3" t="s">
        <v>1276</v>
      </c>
      <c r="E800" s="18" t="n">
        <v>45259</v>
      </c>
      <c r="F800" s="3" t="s">
        <v>1262</v>
      </c>
      <c r="G800" s="3" t="s">
        <v>5</v>
      </c>
      <c r="H800" s="19"/>
      <c r="I800" s="19"/>
      <c r="J800" s="20"/>
      <c r="K800" s="20"/>
      <c r="L800" s="19"/>
      <c r="M800" s="19"/>
      <c r="N800" s="19"/>
      <c r="O800" s="20"/>
      <c r="P800" s="20"/>
    </row>
    <row r="801" customFormat="false" ht="14.25" hidden="false" customHeight="true" outlineLevel="0" collapsed="false">
      <c r="A801" s="3" t="s">
        <v>1259</v>
      </c>
      <c r="B801" s="3" t="s">
        <v>1260</v>
      </c>
      <c r="C801" s="3" t="n">
        <v>223063</v>
      </c>
      <c r="D801" s="3" t="s">
        <v>1390</v>
      </c>
      <c r="E801" s="18" t="n">
        <v>45259</v>
      </c>
      <c r="F801" s="3" t="s">
        <v>1262</v>
      </c>
      <c r="G801" s="3" t="s">
        <v>1275</v>
      </c>
      <c r="H801" s="19"/>
      <c r="I801" s="19"/>
      <c r="J801" s="20"/>
      <c r="K801" s="20"/>
      <c r="L801" s="19"/>
      <c r="M801" s="19"/>
      <c r="N801" s="19"/>
      <c r="O801" s="20"/>
      <c r="P801" s="20"/>
    </row>
    <row r="802" customFormat="false" ht="14.25" hidden="false" customHeight="true" outlineLevel="0" collapsed="false">
      <c r="A802" s="3" t="s">
        <v>1259</v>
      </c>
      <c r="B802" s="3" t="s">
        <v>1260</v>
      </c>
      <c r="C802" s="3" t="n">
        <v>223063</v>
      </c>
      <c r="D802" s="3" t="s">
        <v>1278</v>
      </c>
      <c r="E802" s="18" t="n">
        <v>45279</v>
      </c>
      <c r="F802" s="3" t="s">
        <v>1262</v>
      </c>
      <c r="G802" s="3" t="s">
        <v>5</v>
      </c>
      <c r="H802" s="19"/>
      <c r="I802" s="19"/>
      <c r="J802" s="20"/>
      <c r="K802" s="20"/>
      <c r="L802" s="19"/>
      <c r="M802" s="19"/>
      <c r="N802" s="19"/>
      <c r="O802" s="20"/>
      <c r="P802" s="20"/>
    </row>
    <row r="803" customFormat="false" ht="14.25" hidden="false" customHeight="true" outlineLevel="0" collapsed="false">
      <c r="A803" s="3" t="s">
        <v>1259</v>
      </c>
      <c r="B803" s="3" t="s">
        <v>1260</v>
      </c>
      <c r="C803" s="3" t="n">
        <v>223063</v>
      </c>
      <c r="D803" s="3" t="s">
        <v>1281</v>
      </c>
      <c r="E803" s="18" t="n">
        <v>45300</v>
      </c>
      <c r="F803" s="3" t="s">
        <v>1262</v>
      </c>
      <c r="G803" s="3" t="s">
        <v>5</v>
      </c>
      <c r="H803" s="19"/>
      <c r="I803" s="19"/>
      <c r="J803" s="20"/>
      <c r="K803" s="20"/>
      <c r="L803" s="19"/>
      <c r="M803" s="19"/>
      <c r="N803" s="19"/>
      <c r="O803" s="20"/>
      <c r="P803" s="20"/>
    </row>
    <row r="804" customFormat="false" ht="14.25" hidden="false" customHeight="true" outlineLevel="0" collapsed="false">
      <c r="A804" s="3" t="s">
        <v>1259</v>
      </c>
      <c r="B804" s="3" t="s">
        <v>1260</v>
      </c>
      <c r="C804" s="3" t="n">
        <v>223063</v>
      </c>
      <c r="D804" s="3" t="s">
        <v>1447</v>
      </c>
      <c r="E804" s="18" t="n">
        <v>45300</v>
      </c>
      <c r="F804" s="3" t="s">
        <v>1262</v>
      </c>
      <c r="G804" s="3" t="s">
        <v>1275</v>
      </c>
      <c r="H804" s="19"/>
      <c r="I804" s="19"/>
      <c r="J804" s="20"/>
      <c r="K804" s="20"/>
      <c r="L804" s="19"/>
      <c r="M804" s="19"/>
      <c r="N804" s="19"/>
      <c r="O804" s="20"/>
      <c r="P804" s="20"/>
    </row>
    <row r="805" customFormat="false" ht="14.25" hidden="false" customHeight="true" outlineLevel="0" collapsed="false">
      <c r="A805" s="3" t="s">
        <v>1259</v>
      </c>
      <c r="B805" s="3" t="s">
        <v>1260</v>
      </c>
      <c r="C805" s="3" t="n">
        <v>223063</v>
      </c>
      <c r="D805" s="3" t="s">
        <v>1283</v>
      </c>
      <c r="E805" s="18" t="n">
        <v>45322</v>
      </c>
      <c r="F805" s="3" t="s">
        <v>1262</v>
      </c>
      <c r="G805" s="3" t="s">
        <v>5</v>
      </c>
      <c r="H805" s="19"/>
      <c r="I805" s="19"/>
      <c r="J805" s="20"/>
      <c r="K805" s="20"/>
      <c r="L805" s="19"/>
      <c r="M805" s="19"/>
      <c r="N805" s="19"/>
      <c r="O805" s="20"/>
      <c r="P805" s="20"/>
    </row>
    <row r="806" customFormat="false" ht="14.25" hidden="false" customHeight="true" outlineLevel="0" collapsed="false">
      <c r="A806" s="3" t="s">
        <v>1259</v>
      </c>
      <c r="B806" s="3" t="s">
        <v>1260</v>
      </c>
      <c r="C806" s="3" t="n">
        <v>223063</v>
      </c>
      <c r="D806" s="3" t="s">
        <v>1448</v>
      </c>
      <c r="E806" s="18" t="n">
        <v>45329</v>
      </c>
      <c r="F806" s="3" t="s">
        <v>1262</v>
      </c>
      <c r="G806" s="3" t="s">
        <v>1268</v>
      </c>
      <c r="H806" s="19"/>
      <c r="I806" s="19"/>
      <c r="J806" s="20"/>
      <c r="K806" s="20"/>
      <c r="L806" s="19"/>
      <c r="M806" s="19"/>
      <c r="N806" s="19"/>
      <c r="O806" s="20"/>
      <c r="P806" s="20"/>
    </row>
    <row r="807" customFormat="false" ht="14.25" hidden="false" customHeight="true" outlineLevel="0" collapsed="false">
      <c r="A807" s="3" t="s">
        <v>1259</v>
      </c>
      <c r="B807" s="3" t="s">
        <v>1260</v>
      </c>
      <c r="C807" s="3" t="n">
        <v>223063</v>
      </c>
      <c r="D807" s="3" t="s">
        <v>1286</v>
      </c>
      <c r="E807" s="18" t="n">
        <v>45343</v>
      </c>
      <c r="F807" s="3" t="s">
        <v>1262</v>
      </c>
      <c r="G807" s="3" t="s">
        <v>5</v>
      </c>
      <c r="H807" s="19"/>
      <c r="I807" s="19"/>
      <c r="J807" s="20"/>
      <c r="K807" s="20"/>
      <c r="L807" s="19"/>
      <c r="M807" s="19"/>
      <c r="N807" s="19"/>
      <c r="O807" s="20"/>
      <c r="P807" s="20"/>
    </row>
    <row r="808" customFormat="false" ht="14.25" hidden="false" customHeight="true" outlineLevel="0" collapsed="false">
      <c r="A808" s="3" t="s">
        <v>1259</v>
      </c>
      <c r="B808" s="3" t="s">
        <v>1260</v>
      </c>
      <c r="C808" s="3" t="n">
        <v>223063</v>
      </c>
      <c r="D808" s="3" t="s">
        <v>1449</v>
      </c>
      <c r="E808" s="18" t="n">
        <v>45343</v>
      </c>
      <c r="F808" s="3" t="s">
        <v>1262</v>
      </c>
      <c r="G808" s="3" t="s">
        <v>1275</v>
      </c>
      <c r="H808" s="19"/>
      <c r="I808" s="19"/>
      <c r="J808" s="20"/>
      <c r="K808" s="20"/>
      <c r="L808" s="19"/>
      <c r="M808" s="19"/>
      <c r="N808" s="19"/>
      <c r="O808" s="20"/>
      <c r="P808" s="20"/>
    </row>
    <row r="809" customFormat="false" ht="14.25" hidden="false" customHeight="true" outlineLevel="0" collapsed="false">
      <c r="A809" s="3" t="s">
        <v>1259</v>
      </c>
      <c r="B809" s="3" t="s">
        <v>1260</v>
      </c>
      <c r="C809" s="3" t="n">
        <v>223063</v>
      </c>
      <c r="D809" s="3" t="s">
        <v>1450</v>
      </c>
      <c r="E809" s="18" t="n">
        <v>45349</v>
      </c>
      <c r="F809" s="3" t="s">
        <v>1262</v>
      </c>
      <c r="G809" s="3" t="s">
        <v>1268</v>
      </c>
      <c r="H809" s="19"/>
      <c r="I809" s="19"/>
      <c r="J809" s="20"/>
      <c r="K809" s="20"/>
      <c r="L809" s="19"/>
      <c r="M809" s="19"/>
      <c r="N809" s="19"/>
      <c r="O809" s="20"/>
      <c r="P809" s="20"/>
    </row>
    <row r="810" customFormat="false" ht="14.25" hidden="false" customHeight="true" outlineLevel="0" collapsed="false">
      <c r="A810" s="3" t="s">
        <v>1259</v>
      </c>
      <c r="B810" s="3" t="s">
        <v>1260</v>
      </c>
      <c r="C810" s="3" t="n">
        <v>223063</v>
      </c>
      <c r="D810" s="3" t="s">
        <v>1451</v>
      </c>
      <c r="E810" s="18" t="n">
        <v>45350</v>
      </c>
      <c r="F810" s="3" t="s">
        <v>1262</v>
      </c>
      <c r="G810" s="3" t="s">
        <v>1268</v>
      </c>
      <c r="H810" s="19"/>
      <c r="I810" s="19"/>
      <c r="J810" s="20"/>
      <c r="K810" s="20"/>
      <c r="L810" s="19"/>
      <c r="M810" s="19"/>
      <c r="N810" s="19"/>
      <c r="O810" s="20"/>
      <c r="P810" s="20"/>
    </row>
    <row r="811" customFormat="false" ht="14.25" hidden="false" customHeight="true" outlineLevel="0" collapsed="false">
      <c r="A811" s="3" t="s">
        <v>1259</v>
      </c>
      <c r="B811" s="3" t="s">
        <v>1260</v>
      </c>
      <c r="C811" s="3" t="n">
        <v>223063</v>
      </c>
      <c r="D811" s="3" t="s">
        <v>1288</v>
      </c>
      <c r="E811" s="18" t="n">
        <v>45371</v>
      </c>
      <c r="F811" s="3" t="s">
        <v>1262</v>
      </c>
      <c r="G811" s="3" t="s">
        <v>5</v>
      </c>
      <c r="H811" s="19"/>
      <c r="I811" s="19"/>
      <c r="J811" s="20"/>
      <c r="K811" s="20"/>
      <c r="L811" s="19"/>
      <c r="M811" s="19"/>
      <c r="N811" s="19"/>
      <c r="O811" s="20"/>
      <c r="P811" s="20"/>
    </row>
    <row r="812" customFormat="false" ht="14.25" hidden="false" customHeight="true" outlineLevel="0" collapsed="false">
      <c r="A812" s="3" t="s">
        <v>1259</v>
      </c>
      <c r="B812" s="3" t="s">
        <v>1260</v>
      </c>
      <c r="C812" s="3" t="n">
        <v>223063</v>
      </c>
      <c r="D812" s="3" t="s">
        <v>1290</v>
      </c>
      <c r="E812" s="18" t="n">
        <v>45393</v>
      </c>
      <c r="F812" s="3" t="s">
        <v>1262</v>
      </c>
      <c r="G812" s="3" t="s">
        <v>5</v>
      </c>
      <c r="H812" s="19"/>
      <c r="I812" s="19"/>
      <c r="J812" s="20"/>
      <c r="K812" s="20"/>
      <c r="L812" s="19"/>
      <c r="M812" s="19"/>
      <c r="N812" s="19"/>
      <c r="O812" s="20"/>
      <c r="P812" s="20"/>
    </row>
    <row r="813" customFormat="false" ht="14.25" hidden="false" customHeight="true" outlineLevel="0" collapsed="false">
      <c r="A813" s="3" t="s">
        <v>1259</v>
      </c>
      <c r="B813" s="3" t="s">
        <v>1260</v>
      </c>
      <c r="C813" s="3" t="n">
        <v>223063</v>
      </c>
      <c r="D813" s="3" t="s">
        <v>1452</v>
      </c>
      <c r="E813" s="18" t="n">
        <v>45393</v>
      </c>
      <c r="F813" s="3" t="s">
        <v>1262</v>
      </c>
      <c r="G813" s="3" t="s">
        <v>1275</v>
      </c>
      <c r="H813" s="19"/>
      <c r="I813" s="19"/>
      <c r="J813" s="20"/>
      <c r="K813" s="20"/>
      <c r="L813" s="19"/>
      <c r="M813" s="19"/>
      <c r="N813" s="19"/>
      <c r="O813" s="20"/>
      <c r="P813" s="20"/>
    </row>
    <row r="814" customFormat="false" ht="14.25" hidden="false" customHeight="true" outlineLevel="0" collapsed="false">
      <c r="A814" s="3" t="s">
        <v>1259</v>
      </c>
      <c r="B814" s="3" t="s">
        <v>1260</v>
      </c>
      <c r="C814" s="3" t="n">
        <v>223063</v>
      </c>
      <c r="D814" s="3" t="s">
        <v>1453</v>
      </c>
      <c r="E814" s="18" t="n">
        <v>45406</v>
      </c>
      <c r="F814" s="3" t="s">
        <v>1262</v>
      </c>
      <c r="G814" s="3" t="s">
        <v>1268</v>
      </c>
      <c r="H814" s="19"/>
      <c r="I814" s="19"/>
      <c r="J814" s="20"/>
      <c r="K814" s="20"/>
      <c r="L814" s="19"/>
      <c r="M814" s="19"/>
      <c r="N814" s="19"/>
      <c r="O814" s="20"/>
      <c r="P814" s="20"/>
    </row>
    <row r="815" customFormat="false" ht="14.25" hidden="false" customHeight="true" outlineLevel="0" collapsed="false">
      <c r="A815" s="3" t="s">
        <v>1259</v>
      </c>
      <c r="B815" s="3" t="s">
        <v>1260</v>
      </c>
      <c r="C815" s="3" t="n">
        <v>223063</v>
      </c>
      <c r="D815" s="3" t="s">
        <v>1293</v>
      </c>
      <c r="E815" s="18" t="n">
        <v>45420</v>
      </c>
      <c r="F815" s="3" t="s">
        <v>1262</v>
      </c>
      <c r="G815" s="3" t="s">
        <v>5</v>
      </c>
      <c r="H815" s="19"/>
      <c r="I815" s="19"/>
      <c r="J815" s="20"/>
      <c r="K815" s="20"/>
      <c r="L815" s="19"/>
      <c r="M815" s="19"/>
      <c r="N815" s="19"/>
      <c r="O815" s="20"/>
      <c r="P815" s="20"/>
    </row>
    <row r="816" customFormat="false" ht="14.25" hidden="false" customHeight="true" outlineLevel="0" collapsed="false">
      <c r="A816" s="3" t="s">
        <v>1259</v>
      </c>
      <c r="B816" s="3" t="s">
        <v>1260</v>
      </c>
      <c r="C816" s="3" t="n">
        <v>223072</v>
      </c>
      <c r="D816" s="3" t="s">
        <v>1261</v>
      </c>
      <c r="E816" s="18" t="n">
        <v>45204</v>
      </c>
      <c r="F816" s="3" t="s">
        <v>1333</v>
      </c>
      <c r="G816" s="3" t="s">
        <v>5</v>
      </c>
      <c r="H816" s="19" t="n">
        <v>45204</v>
      </c>
      <c r="I816" s="19" t="n">
        <v>45054</v>
      </c>
      <c r="J816" s="20" t="n">
        <v>58</v>
      </c>
      <c r="K816" s="20" t="s">
        <v>1313</v>
      </c>
      <c r="L816" s="19" t="s">
        <v>12</v>
      </c>
      <c r="M816" s="19" t="s">
        <v>1334</v>
      </c>
      <c r="N816" s="19" t="n">
        <v>45232</v>
      </c>
      <c r="O816" s="20"/>
      <c r="P816" s="20" t="s">
        <v>1335</v>
      </c>
    </row>
    <row r="817" customFormat="false" ht="14.25" hidden="false" customHeight="true" outlineLevel="0" collapsed="false">
      <c r="A817" s="3" t="s">
        <v>1259</v>
      </c>
      <c r="B817" s="3" t="s">
        <v>1260</v>
      </c>
      <c r="C817" s="3" t="n">
        <v>223072</v>
      </c>
      <c r="D817" s="3" t="s">
        <v>1454</v>
      </c>
      <c r="E817" s="18" t="n">
        <v>45225</v>
      </c>
      <c r="F817" s="3" t="s">
        <v>1333</v>
      </c>
      <c r="G817" s="3" t="s">
        <v>1268</v>
      </c>
      <c r="H817" s="19"/>
      <c r="I817" s="19"/>
      <c r="J817" s="20"/>
      <c r="K817" s="20"/>
      <c r="L817" s="19"/>
      <c r="M817" s="19"/>
      <c r="N817" s="19"/>
      <c r="O817" s="20"/>
      <c r="P817" s="20"/>
    </row>
    <row r="818" customFormat="false" ht="14.25" hidden="false" customHeight="true" outlineLevel="0" collapsed="false">
      <c r="A818" s="3" t="s">
        <v>1259</v>
      </c>
      <c r="B818" s="3" t="s">
        <v>1260</v>
      </c>
      <c r="C818" s="3" t="n">
        <v>223072</v>
      </c>
      <c r="D818" s="3" t="s">
        <v>1455</v>
      </c>
      <c r="E818" s="18" t="n">
        <v>45229</v>
      </c>
      <c r="F818" s="3" t="s">
        <v>1333</v>
      </c>
      <c r="G818" s="3" t="s">
        <v>1268</v>
      </c>
      <c r="H818" s="19"/>
      <c r="I818" s="19"/>
      <c r="J818" s="20"/>
      <c r="K818" s="20"/>
      <c r="L818" s="19"/>
      <c r="M818" s="19"/>
      <c r="N818" s="19"/>
      <c r="O818" s="20"/>
      <c r="P818" s="20"/>
    </row>
    <row r="819" customFormat="false" ht="14.25" hidden="false" customHeight="true" outlineLevel="0" collapsed="false">
      <c r="A819" s="3" t="s">
        <v>1259</v>
      </c>
      <c r="B819" s="3" t="s">
        <v>1260</v>
      </c>
      <c r="C819" s="3" t="n">
        <v>223072</v>
      </c>
      <c r="D819" s="3" t="s">
        <v>1456</v>
      </c>
      <c r="E819" s="18" t="n">
        <v>45230</v>
      </c>
      <c r="F819" s="3" t="s">
        <v>1333</v>
      </c>
      <c r="G819" s="3" t="s">
        <v>1268</v>
      </c>
      <c r="H819" s="19"/>
      <c r="I819" s="19"/>
      <c r="J819" s="20"/>
      <c r="K819" s="20"/>
      <c r="L819" s="19"/>
      <c r="M819" s="19"/>
      <c r="N819" s="19"/>
      <c r="O819" s="20"/>
      <c r="P819" s="20"/>
    </row>
    <row r="820" customFormat="false" ht="14.25" hidden="false" customHeight="true" outlineLevel="0" collapsed="false">
      <c r="A820" s="3" t="s">
        <v>1259</v>
      </c>
      <c r="B820" s="3" t="s">
        <v>1260</v>
      </c>
      <c r="C820" s="3" t="n">
        <v>223072</v>
      </c>
      <c r="D820" s="3" t="s">
        <v>1457</v>
      </c>
      <c r="E820" s="18" t="n">
        <v>45232</v>
      </c>
      <c r="F820" s="3" t="s">
        <v>1333</v>
      </c>
      <c r="G820" s="3" t="s">
        <v>1268</v>
      </c>
      <c r="H820" s="19"/>
      <c r="I820" s="19"/>
      <c r="J820" s="20"/>
      <c r="K820" s="20"/>
      <c r="L820" s="19"/>
      <c r="M820" s="19"/>
      <c r="N820" s="19"/>
      <c r="O820" s="20"/>
      <c r="P820" s="20"/>
    </row>
    <row r="821" customFormat="false" ht="14.25" hidden="false" customHeight="true" outlineLevel="0" collapsed="false">
      <c r="A821" s="3" t="s">
        <v>1259</v>
      </c>
      <c r="B821" s="3" t="s">
        <v>1260</v>
      </c>
      <c r="C821" s="3" t="n">
        <v>223525</v>
      </c>
      <c r="D821" s="3" t="s">
        <v>1261</v>
      </c>
      <c r="E821" s="18" t="n">
        <v>45327</v>
      </c>
      <c r="F821" s="3" t="s">
        <v>1262</v>
      </c>
      <c r="G821" s="3" t="s">
        <v>5</v>
      </c>
      <c r="H821" s="19" t="n">
        <v>45327</v>
      </c>
      <c r="I821" s="19" t="n">
        <v>45216</v>
      </c>
      <c r="J821" s="20" t="n">
        <v>74</v>
      </c>
      <c r="K821" s="20" t="s">
        <v>1263</v>
      </c>
      <c r="L821" s="19" t="s">
        <v>12</v>
      </c>
      <c r="M821" s="19"/>
      <c r="N821" s="19"/>
      <c r="O821" s="20"/>
      <c r="P821" s="20"/>
    </row>
    <row r="822" customFormat="false" ht="14.25" hidden="false" customHeight="true" outlineLevel="0" collapsed="false">
      <c r="A822" s="3" t="s">
        <v>1259</v>
      </c>
      <c r="B822" s="3" t="s">
        <v>1260</v>
      </c>
      <c r="C822" s="3" t="n">
        <v>223525</v>
      </c>
      <c r="D822" s="3" t="s">
        <v>1264</v>
      </c>
      <c r="E822" s="18" t="n">
        <v>45355</v>
      </c>
      <c r="F822" s="3" t="s">
        <v>1262</v>
      </c>
      <c r="G822" s="3" t="s">
        <v>5</v>
      </c>
      <c r="H822" s="19"/>
      <c r="I822" s="19"/>
      <c r="J822" s="20"/>
      <c r="K822" s="20"/>
      <c r="L822" s="19"/>
      <c r="M822" s="19"/>
      <c r="N822" s="19"/>
      <c r="O822" s="20"/>
      <c r="P822" s="20"/>
    </row>
    <row r="823" customFormat="false" ht="14.25" hidden="false" customHeight="true" outlineLevel="0" collapsed="false">
      <c r="A823" s="3" t="s">
        <v>1259</v>
      </c>
      <c r="B823" s="3" t="s">
        <v>1260</v>
      </c>
      <c r="C823" s="3" t="n">
        <v>223525</v>
      </c>
      <c r="D823" s="3" t="s">
        <v>1265</v>
      </c>
      <c r="E823" s="18" t="n">
        <v>45357</v>
      </c>
      <c r="F823" s="3" t="s">
        <v>1262</v>
      </c>
      <c r="G823" s="3" t="s">
        <v>5</v>
      </c>
      <c r="H823" s="19"/>
      <c r="I823" s="19"/>
      <c r="J823" s="20"/>
      <c r="K823" s="20"/>
      <c r="L823" s="19"/>
      <c r="M823" s="19"/>
      <c r="N823" s="19"/>
      <c r="O823" s="20"/>
      <c r="P823" s="20"/>
    </row>
    <row r="824" customFormat="false" ht="14.25" hidden="false" customHeight="true" outlineLevel="0" collapsed="false">
      <c r="A824" s="3" t="s">
        <v>1259</v>
      </c>
      <c r="B824" s="3" t="s">
        <v>1260</v>
      </c>
      <c r="C824" s="3" t="n">
        <v>223525</v>
      </c>
      <c r="D824" s="3" t="s">
        <v>1266</v>
      </c>
      <c r="E824" s="18" t="n">
        <v>45362</v>
      </c>
      <c r="F824" s="3" t="s">
        <v>1262</v>
      </c>
      <c r="G824" s="3" t="s">
        <v>5</v>
      </c>
      <c r="H824" s="19"/>
      <c r="I824" s="19"/>
      <c r="J824" s="20"/>
      <c r="K824" s="20"/>
      <c r="L824" s="19"/>
      <c r="M824" s="19"/>
      <c r="N824" s="19"/>
      <c r="O824" s="20"/>
      <c r="P824" s="20"/>
    </row>
    <row r="825" customFormat="false" ht="14.25" hidden="false" customHeight="true" outlineLevel="0" collapsed="false">
      <c r="A825" s="3" t="s">
        <v>1259</v>
      </c>
      <c r="B825" s="3" t="s">
        <v>1260</v>
      </c>
      <c r="C825" s="3" t="n">
        <v>223525</v>
      </c>
      <c r="D825" s="3" t="s">
        <v>1269</v>
      </c>
      <c r="E825" s="18" t="n">
        <v>45369</v>
      </c>
      <c r="F825" s="3" t="s">
        <v>1262</v>
      </c>
      <c r="G825" s="3" t="s">
        <v>5</v>
      </c>
      <c r="H825" s="19"/>
      <c r="I825" s="19"/>
      <c r="J825" s="20"/>
      <c r="K825" s="20"/>
      <c r="L825" s="19"/>
      <c r="M825" s="19"/>
      <c r="N825" s="19"/>
      <c r="O825" s="20"/>
      <c r="P825" s="20"/>
    </row>
    <row r="826" customFormat="false" ht="14.25" hidden="false" customHeight="true" outlineLevel="0" collapsed="false">
      <c r="A826" s="3" t="s">
        <v>1259</v>
      </c>
      <c r="B826" s="3" t="s">
        <v>1260</v>
      </c>
      <c r="C826" s="3" t="n">
        <v>223525</v>
      </c>
      <c r="D826" s="3" t="s">
        <v>1271</v>
      </c>
      <c r="E826" s="18" t="n">
        <v>45376</v>
      </c>
      <c r="F826" s="3" t="s">
        <v>1262</v>
      </c>
      <c r="G826" s="3" t="s">
        <v>5</v>
      </c>
      <c r="H826" s="19"/>
      <c r="I826" s="19"/>
      <c r="J826" s="20"/>
      <c r="K826" s="20"/>
      <c r="L826" s="19"/>
      <c r="M826" s="19"/>
      <c r="N826" s="19"/>
      <c r="O826" s="20"/>
      <c r="P826" s="20"/>
    </row>
    <row r="827" customFormat="false" ht="14.25" hidden="false" customHeight="true" outlineLevel="0" collapsed="false">
      <c r="A827" s="3" t="s">
        <v>1259</v>
      </c>
      <c r="B827" s="3" t="s">
        <v>1260</v>
      </c>
      <c r="C827" s="3" t="n">
        <v>223525</v>
      </c>
      <c r="D827" s="3" t="s">
        <v>1272</v>
      </c>
      <c r="E827" s="18" t="n">
        <v>45378</v>
      </c>
      <c r="F827" s="3" t="s">
        <v>1262</v>
      </c>
      <c r="G827" s="3" t="s">
        <v>5</v>
      </c>
      <c r="H827" s="19"/>
      <c r="I827" s="19"/>
      <c r="J827" s="20"/>
      <c r="K827" s="20"/>
      <c r="L827" s="19"/>
      <c r="M827" s="19"/>
      <c r="N827" s="19"/>
      <c r="O827" s="20"/>
      <c r="P827" s="20"/>
    </row>
    <row r="828" customFormat="false" ht="14.25" hidden="false" customHeight="true" outlineLevel="0" collapsed="false">
      <c r="A828" s="3" t="s">
        <v>1259</v>
      </c>
      <c r="B828" s="3" t="s">
        <v>1260</v>
      </c>
      <c r="C828" s="3" t="n">
        <v>223525</v>
      </c>
      <c r="D828" s="3" t="s">
        <v>1458</v>
      </c>
      <c r="E828" s="18" t="n">
        <v>45385</v>
      </c>
      <c r="F828" s="3" t="s">
        <v>1262</v>
      </c>
      <c r="G828" s="3" t="s">
        <v>1268</v>
      </c>
      <c r="H828" s="19"/>
      <c r="I828" s="19"/>
      <c r="J828" s="20"/>
      <c r="K828" s="20"/>
      <c r="L828" s="19"/>
      <c r="M828" s="19"/>
      <c r="N828" s="19"/>
      <c r="O828" s="20"/>
      <c r="P828" s="20"/>
    </row>
    <row r="829" customFormat="false" ht="14.25" hidden="false" customHeight="true" outlineLevel="0" collapsed="false">
      <c r="A829" s="3" t="s">
        <v>1259</v>
      </c>
      <c r="B829" s="3" t="s">
        <v>1260</v>
      </c>
      <c r="C829" s="3" t="n">
        <v>223525</v>
      </c>
      <c r="D829" s="3" t="s">
        <v>1276</v>
      </c>
      <c r="E829" s="18" t="n">
        <v>45400</v>
      </c>
      <c r="F829" s="3" t="s">
        <v>1262</v>
      </c>
      <c r="G829" s="3" t="s">
        <v>5</v>
      </c>
      <c r="H829" s="19"/>
      <c r="I829" s="19"/>
      <c r="J829" s="20"/>
      <c r="K829" s="20"/>
      <c r="L829" s="19"/>
      <c r="M829" s="19"/>
      <c r="N829" s="19"/>
      <c r="O829" s="20"/>
      <c r="P829" s="20"/>
    </row>
    <row r="830" customFormat="false" ht="14.25" hidden="false" customHeight="true" outlineLevel="0" collapsed="false">
      <c r="A830" s="3" t="s">
        <v>1259</v>
      </c>
      <c r="B830" s="3" t="s">
        <v>1260</v>
      </c>
      <c r="C830" s="3" t="n">
        <v>223525</v>
      </c>
      <c r="D830" s="3" t="s">
        <v>1424</v>
      </c>
      <c r="E830" s="18" t="n">
        <v>45400</v>
      </c>
      <c r="F830" s="3" t="s">
        <v>1262</v>
      </c>
      <c r="G830" s="3" t="s">
        <v>1275</v>
      </c>
      <c r="H830" s="19"/>
      <c r="I830" s="19"/>
      <c r="J830" s="20"/>
      <c r="K830" s="20"/>
      <c r="L830" s="19"/>
      <c r="M830" s="19"/>
      <c r="N830" s="19"/>
      <c r="O830" s="20"/>
      <c r="P830" s="20"/>
    </row>
    <row r="831" customFormat="false" ht="14.25" hidden="false" customHeight="true" outlineLevel="0" collapsed="false">
      <c r="A831" s="3" t="s">
        <v>1259</v>
      </c>
      <c r="B831" s="3" t="s">
        <v>1260</v>
      </c>
      <c r="C831" s="3" t="n">
        <v>223525</v>
      </c>
      <c r="D831" s="3" t="s">
        <v>1278</v>
      </c>
      <c r="E831" s="18" t="n">
        <v>45421</v>
      </c>
      <c r="F831" s="3" t="s">
        <v>1262</v>
      </c>
      <c r="G831" s="3" t="s">
        <v>5</v>
      </c>
      <c r="H831" s="19"/>
      <c r="I831" s="19"/>
      <c r="J831" s="20"/>
      <c r="K831" s="20"/>
      <c r="L831" s="19"/>
      <c r="M831" s="19"/>
      <c r="N831" s="19"/>
      <c r="O831" s="20"/>
      <c r="P831" s="20"/>
    </row>
    <row r="832" customFormat="false" ht="14.25" hidden="false" customHeight="true" outlineLevel="0" collapsed="false">
      <c r="A832" s="3" t="s">
        <v>1259</v>
      </c>
      <c r="B832" s="3" t="s">
        <v>1260</v>
      </c>
      <c r="C832" s="3" t="n">
        <v>223526</v>
      </c>
      <c r="D832" s="3" t="s">
        <v>1261</v>
      </c>
      <c r="E832" s="18" t="n">
        <v>45328</v>
      </c>
      <c r="F832" s="3" t="s">
        <v>1262</v>
      </c>
      <c r="G832" s="3" t="s">
        <v>5</v>
      </c>
      <c r="H832" s="19" t="n">
        <v>45328</v>
      </c>
      <c r="I832" s="19" t="n">
        <v>45216</v>
      </c>
      <c r="J832" s="20" t="n">
        <v>58</v>
      </c>
      <c r="K832" s="20" t="s">
        <v>1313</v>
      </c>
      <c r="L832" s="19" t="s">
        <v>12</v>
      </c>
      <c r="M832" s="19"/>
      <c r="N832" s="19"/>
      <c r="O832" s="20"/>
      <c r="P832" s="20"/>
    </row>
    <row r="833" customFormat="false" ht="14.25" hidden="false" customHeight="true" outlineLevel="0" collapsed="false">
      <c r="A833" s="3" t="s">
        <v>1259</v>
      </c>
      <c r="B833" s="3" t="s">
        <v>1260</v>
      </c>
      <c r="C833" s="3" t="n">
        <v>223526</v>
      </c>
      <c r="D833" s="3" t="s">
        <v>1264</v>
      </c>
      <c r="E833" s="18" t="n">
        <v>45355</v>
      </c>
      <c r="F833" s="3" t="s">
        <v>1262</v>
      </c>
      <c r="G833" s="3" t="s">
        <v>5</v>
      </c>
      <c r="H833" s="19"/>
      <c r="I833" s="19"/>
      <c r="J833" s="20"/>
      <c r="K833" s="20"/>
      <c r="L833" s="19"/>
      <c r="M833" s="19"/>
      <c r="N833" s="19"/>
      <c r="O833" s="20"/>
      <c r="P833" s="20"/>
    </row>
    <row r="834" customFormat="false" ht="14.25" hidden="false" customHeight="true" outlineLevel="0" collapsed="false">
      <c r="A834" s="3" t="s">
        <v>1259</v>
      </c>
      <c r="B834" s="3" t="s">
        <v>1260</v>
      </c>
      <c r="C834" s="3" t="n">
        <v>223526</v>
      </c>
      <c r="D834" s="3" t="s">
        <v>1265</v>
      </c>
      <c r="E834" s="18" t="n">
        <v>45357</v>
      </c>
      <c r="F834" s="3" t="s">
        <v>1262</v>
      </c>
      <c r="G834" s="3" t="s">
        <v>5</v>
      </c>
      <c r="H834" s="19"/>
      <c r="I834" s="19"/>
      <c r="J834" s="20"/>
      <c r="K834" s="20"/>
      <c r="L834" s="19"/>
      <c r="M834" s="19"/>
      <c r="N834" s="19"/>
      <c r="O834" s="20"/>
      <c r="P834" s="20"/>
    </row>
    <row r="835" customFormat="false" ht="14.25" hidden="false" customHeight="true" outlineLevel="0" collapsed="false">
      <c r="A835" s="3" t="s">
        <v>1259</v>
      </c>
      <c r="B835" s="3" t="s">
        <v>1260</v>
      </c>
      <c r="C835" s="3" t="n">
        <v>223526</v>
      </c>
      <c r="D835" s="3" t="s">
        <v>1266</v>
      </c>
      <c r="E835" s="18" t="n">
        <v>45362</v>
      </c>
      <c r="F835" s="3" t="s">
        <v>1262</v>
      </c>
      <c r="G835" s="3" t="s">
        <v>5</v>
      </c>
      <c r="H835" s="19"/>
      <c r="I835" s="19"/>
      <c r="J835" s="20"/>
      <c r="K835" s="20"/>
      <c r="L835" s="19"/>
      <c r="M835" s="19"/>
      <c r="N835" s="19"/>
      <c r="O835" s="20"/>
      <c r="P835" s="20"/>
    </row>
    <row r="836" customFormat="false" ht="14.25" hidden="false" customHeight="true" outlineLevel="0" collapsed="false">
      <c r="A836" s="3" t="s">
        <v>1259</v>
      </c>
      <c r="B836" s="3" t="s">
        <v>1260</v>
      </c>
      <c r="C836" s="3" t="n">
        <v>223526</v>
      </c>
      <c r="D836" s="3" t="s">
        <v>1269</v>
      </c>
      <c r="E836" s="18" t="n">
        <v>45370</v>
      </c>
      <c r="F836" s="3" t="s">
        <v>1262</v>
      </c>
      <c r="G836" s="3" t="s">
        <v>5</v>
      </c>
      <c r="H836" s="19"/>
      <c r="I836" s="19"/>
      <c r="J836" s="20"/>
      <c r="K836" s="20"/>
      <c r="L836" s="19"/>
      <c r="M836" s="19"/>
      <c r="N836" s="19"/>
      <c r="O836" s="20"/>
      <c r="P836" s="20"/>
    </row>
    <row r="837" customFormat="false" ht="14.25" hidden="false" customHeight="true" outlineLevel="0" collapsed="false">
      <c r="A837" s="3" t="s">
        <v>1259</v>
      </c>
      <c r="B837" s="3" t="s">
        <v>1260</v>
      </c>
      <c r="C837" s="3" t="n">
        <v>223526</v>
      </c>
      <c r="D837" s="3" t="s">
        <v>1459</v>
      </c>
      <c r="E837" s="18" t="n">
        <v>45376</v>
      </c>
      <c r="F837" s="3" t="s">
        <v>1262</v>
      </c>
      <c r="G837" s="3" t="s">
        <v>1268</v>
      </c>
      <c r="H837" s="19"/>
      <c r="I837" s="19"/>
      <c r="J837" s="20"/>
      <c r="K837" s="20"/>
      <c r="L837" s="19"/>
      <c r="M837" s="19"/>
      <c r="N837" s="19"/>
      <c r="O837" s="20"/>
      <c r="P837" s="20"/>
    </row>
    <row r="838" customFormat="false" ht="14.25" hidden="false" customHeight="true" outlineLevel="0" collapsed="false">
      <c r="A838" s="3" t="s">
        <v>1259</v>
      </c>
      <c r="B838" s="3" t="s">
        <v>1260</v>
      </c>
      <c r="C838" s="3" t="n">
        <v>223526</v>
      </c>
      <c r="D838" s="3" t="s">
        <v>1271</v>
      </c>
      <c r="E838" s="18" t="n">
        <v>45379</v>
      </c>
      <c r="F838" s="3" t="s">
        <v>1262</v>
      </c>
      <c r="G838" s="3" t="s">
        <v>5</v>
      </c>
      <c r="H838" s="19"/>
      <c r="I838" s="19"/>
      <c r="J838" s="20"/>
      <c r="K838" s="20"/>
      <c r="L838" s="19"/>
      <c r="M838" s="19"/>
      <c r="N838" s="19"/>
      <c r="O838" s="20"/>
      <c r="P838" s="20"/>
    </row>
    <row r="839" customFormat="false" ht="14.25" hidden="false" customHeight="true" outlineLevel="0" collapsed="false">
      <c r="A839" s="3" t="s">
        <v>1259</v>
      </c>
      <c r="B839" s="3" t="s">
        <v>1260</v>
      </c>
      <c r="C839" s="3" t="n">
        <v>223526</v>
      </c>
      <c r="D839" s="3" t="s">
        <v>1276</v>
      </c>
      <c r="E839" s="18" t="n">
        <v>45398</v>
      </c>
      <c r="F839" s="3" t="s">
        <v>1262</v>
      </c>
      <c r="G839" s="3" t="s">
        <v>5</v>
      </c>
      <c r="H839" s="19"/>
      <c r="I839" s="19"/>
      <c r="J839" s="20"/>
      <c r="K839" s="20"/>
      <c r="L839" s="19"/>
      <c r="M839" s="19"/>
      <c r="N839" s="19"/>
      <c r="O839" s="20"/>
      <c r="P839" s="20"/>
    </row>
    <row r="840" customFormat="false" ht="14.25" hidden="false" customHeight="true" outlineLevel="0" collapsed="false">
      <c r="A840" s="3" t="s">
        <v>1259</v>
      </c>
      <c r="B840" s="3" t="s">
        <v>1260</v>
      </c>
      <c r="C840" s="3" t="n">
        <v>223526</v>
      </c>
      <c r="D840" s="3" t="s">
        <v>1429</v>
      </c>
      <c r="E840" s="18" t="n">
        <v>45404</v>
      </c>
      <c r="F840" s="3" t="s">
        <v>1262</v>
      </c>
      <c r="G840" s="3" t="s">
        <v>1275</v>
      </c>
      <c r="H840" s="19"/>
      <c r="I840" s="19"/>
      <c r="J840" s="20"/>
      <c r="K840" s="20"/>
      <c r="L840" s="19"/>
      <c r="M840" s="19"/>
      <c r="N840" s="19"/>
      <c r="O840" s="20"/>
      <c r="P840" s="20"/>
    </row>
    <row r="841" customFormat="false" ht="14.25" hidden="false" customHeight="true" outlineLevel="0" collapsed="false">
      <c r="A841" s="3" t="s">
        <v>1259</v>
      </c>
      <c r="B841" s="3" t="s">
        <v>1260</v>
      </c>
      <c r="C841" s="3" t="n">
        <v>223526</v>
      </c>
      <c r="D841" s="3" t="s">
        <v>1460</v>
      </c>
      <c r="E841" s="18" t="n">
        <v>45419</v>
      </c>
      <c r="F841" s="3" t="s">
        <v>1262</v>
      </c>
      <c r="G841" s="3" t="s">
        <v>1268</v>
      </c>
      <c r="H841" s="19"/>
      <c r="I841" s="19"/>
      <c r="J841" s="20"/>
      <c r="K841" s="20"/>
      <c r="L841" s="19"/>
      <c r="M841" s="19"/>
      <c r="N841" s="19"/>
      <c r="O841" s="20"/>
      <c r="P841" s="20"/>
    </row>
    <row r="842" customFormat="false" ht="14.25" hidden="false" customHeight="true" outlineLevel="0" collapsed="false">
      <c r="A842" s="3" t="s">
        <v>1259</v>
      </c>
      <c r="B842" s="3" t="s">
        <v>1260</v>
      </c>
      <c r="C842" s="3" t="n">
        <v>223526</v>
      </c>
      <c r="D842" s="3" t="s">
        <v>1278</v>
      </c>
      <c r="E842" s="18" t="n">
        <v>45421</v>
      </c>
      <c r="F842" s="3" t="s">
        <v>1262</v>
      </c>
      <c r="G842" s="3" t="s">
        <v>5</v>
      </c>
      <c r="H842" s="19"/>
      <c r="I842" s="19"/>
      <c r="J842" s="20"/>
      <c r="K842" s="20"/>
      <c r="L842" s="19"/>
      <c r="M842" s="19"/>
      <c r="N842" s="19"/>
      <c r="O842" s="20"/>
      <c r="P842" s="20"/>
    </row>
    <row r="843" customFormat="false" ht="14.25" hidden="false" customHeight="true" outlineLevel="0" collapsed="false">
      <c r="A843" s="3" t="s">
        <v>1259</v>
      </c>
      <c r="B843" s="3" t="s">
        <v>1260</v>
      </c>
      <c r="C843" s="3" t="n">
        <v>223526</v>
      </c>
      <c r="D843" s="3" t="s">
        <v>1272</v>
      </c>
      <c r="F843" s="3" t="s">
        <v>1262</v>
      </c>
      <c r="G843" s="3" t="s">
        <v>5</v>
      </c>
      <c r="H843" s="19"/>
      <c r="I843" s="19"/>
      <c r="J843" s="20"/>
      <c r="K843" s="20"/>
      <c r="L843" s="19"/>
      <c r="M843" s="19"/>
      <c r="N843" s="19"/>
      <c r="O843" s="20"/>
      <c r="P843" s="20"/>
    </row>
    <row r="844" customFormat="false" ht="14.25" hidden="false" customHeight="true" outlineLevel="0" collapsed="false">
      <c r="A844" s="3" t="s">
        <v>1259</v>
      </c>
      <c r="B844" s="3" t="s">
        <v>1260</v>
      </c>
      <c r="C844" s="3" t="n">
        <v>223527</v>
      </c>
      <c r="D844" s="3" t="s">
        <v>1261</v>
      </c>
      <c r="E844" s="18" t="n">
        <v>45329</v>
      </c>
      <c r="F844" s="3" t="s">
        <v>1262</v>
      </c>
      <c r="G844" s="3" t="s">
        <v>5</v>
      </c>
      <c r="H844" s="19" t="n">
        <v>45329</v>
      </c>
      <c r="I844" s="19" t="n">
        <v>45216</v>
      </c>
      <c r="J844" s="20" t="n">
        <v>54</v>
      </c>
      <c r="K844" s="20" t="s">
        <v>1263</v>
      </c>
      <c r="L844" s="19" t="s">
        <v>12</v>
      </c>
      <c r="M844" s="19"/>
      <c r="N844" s="19"/>
      <c r="O844" s="20"/>
      <c r="P844" s="20"/>
    </row>
    <row r="845" customFormat="false" ht="14.25" hidden="false" customHeight="true" outlineLevel="0" collapsed="false">
      <c r="A845" s="3" t="s">
        <v>1259</v>
      </c>
      <c r="B845" s="3" t="s">
        <v>1260</v>
      </c>
      <c r="C845" s="3" t="n">
        <v>223527</v>
      </c>
      <c r="D845" s="3" t="s">
        <v>1264</v>
      </c>
      <c r="E845" s="18" t="n">
        <v>45351</v>
      </c>
      <c r="F845" s="3" t="s">
        <v>1262</v>
      </c>
      <c r="G845" s="3" t="s">
        <v>5</v>
      </c>
      <c r="H845" s="19"/>
      <c r="I845" s="19"/>
      <c r="J845" s="20"/>
      <c r="K845" s="20"/>
      <c r="L845" s="19"/>
      <c r="M845" s="19"/>
      <c r="N845" s="19"/>
      <c r="O845" s="20"/>
      <c r="P845" s="20"/>
    </row>
    <row r="846" customFormat="false" ht="14.25" hidden="false" customHeight="true" outlineLevel="0" collapsed="false">
      <c r="A846" s="3" t="s">
        <v>1259</v>
      </c>
      <c r="B846" s="3" t="s">
        <v>1260</v>
      </c>
      <c r="C846" s="3" t="n">
        <v>223527</v>
      </c>
      <c r="D846" s="3" t="s">
        <v>1266</v>
      </c>
      <c r="E846" s="18" t="n">
        <v>45357</v>
      </c>
      <c r="F846" s="3" t="s">
        <v>1262</v>
      </c>
      <c r="G846" s="3" t="s">
        <v>5</v>
      </c>
      <c r="H846" s="19"/>
      <c r="I846" s="19"/>
      <c r="J846" s="20"/>
      <c r="K846" s="20"/>
      <c r="L846" s="19"/>
      <c r="M846" s="19"/>
      <c r="N846" s="19"/>
      <c r="O846" s="20"/>
      <c r="P846" s="20"/>
    </row>
    <row r="847" customFormat="false" ht="14.25" hidden="false" customHeight="true" outlineLevel="0" collapsed="false">
      <c r="A847" s="3" t="s">
        <v>1259</v>
      </c>
      <c r="B847" s="3" t="s">
        <v>1260</v>
      </c>
      <c r="C847" s="3" t="n">
        <v>223527</v>
      </c>
      <c r="D847" s="3" t="s">
        <v>1269</v>
      </c>
      <c r="E847" s="18" t="n">
        <v>45364</v>
      </c>
      <c r="F847" s="3" t="s">
        <v>1262</v>
      </c>
      <c r="G847" s="3" t="s">
        <v>5</v>
      </c>
      <c r="H847" s="19"/>
      <c r="I847" s="19"/>
      <c r="J847" s="20"/>
      <c r="K847" s="20"/>
      <c r="L847" s="19"/>
      <c r="M847" s="19"/>
      <c r="N847" s="19"/>
      <c r="O847" s="20"/>
      <c r="P847" s="20"/>
    </row>
    <row r="848" customFormat="false" ht="14.25" hidden="false" customHeight="true" outlineLevel="0" collapsed="false">
      <c r="A848" s="3" t="s">
        <v>1259</v>
      </c>
      <c r="B848" s="3" t="s">
        <v>1260</v>
      </c>
      <c r="C848" s="3" t="n">
        <v>223527</v>
      </c>
      <c r="D848" s="3" t="s">
        <v>1271</v>
      </c>
      <c r="E848" s="18" t="n">
        <v>45371</v>
      </c>
      <c r="F848" s="3" t="s">
        <v>1262</v>
      </c>
      <c r="G848" s="3" t="s">
        <v>5</v>
      </c>
      <c r="H848" s="19"/>
      <c r="I848" s="19"/>
      <c r="J848" s="20"/>
      <c r="K848" s="20"/>
      <c r="L848" s="19"/>
      <c r="M848" s="19"/>
      <c r="N848" s="19"/>
      <c r="O848" s="20"/>
      <c r="P848" s="20"/>
    </row>
    <row r="849" customFormat="false" ht="14.25" hidden="false" customHeight="true" outlineLevel="0" collapsed="false">
      <c r="A849" s="3" t="s">
        <v>1259</v>
      </c>
      <c r="B849" s="3" t="s">
        <v>1260</v>
      </c>
      <c r="C849" s="3" t="n">
        <v>223527</v>
      </c>
      <c r="D849" s="3" t="s">
        <v>1272</v>
      </c>
      <c r="E849" s="18" t="n">
        <v>45373</v>
      </c>
      <c r="F849" s="3" t="s">
        <v>1262</v>
      </c>
      <c r="G849" s="3" t="s">
        <v>5</v>
      </c>
      <c r="H849" s="19"/>
      <c r="I849" s="19"/>
      <c r="J849" s="20"/>
      <c r="K849" s="20"/>
      <c r="L849" s="19"/>
      <c r="M849" s="19"/>
      <c r="N849" s="19"/>
      <c r="O849" s="20"/>
      <c r="P849" s="20"/>
    </row>
    <row r="850" customFormat="false" ht="14.25" hidden="false" customHeight="true" outlineLevel="0" collapsed="false">
      <c r="A850" s="3" t="s">
        <v>1259</v>
      </c>
      <c r="B850" s="3" t="s">
        <v>1260</v>
      </c>
      <c r="C850" s="3" t="n">
        <v>223527</v>
      </c>
      <c r="D850" s="3" t="s">
        <v>1276</v>
      </c>
      <c r="E850" s="18" t="n">
        <v>45393</v>
      </c>
      <c r="F850" s="3" t="s">
        <v>1262</v>
      </c>
      <c r="G850" s="3" t="s">
        <v>5</v>
      </c>
      <c r="H850" s="19"/>
      <c r="I850" s="19"/>
      <c r="J850" s="20"/>
      <c r="K850" s="20"/>
      <c r="L850" s="19"/>
      <c r="M850" s="19"/>
      <c r="N850" s="19"/>
      <c r="O850" s="20"/>
      <c r="P850" s="20"/>
    </row>
    <row r="851" customFormat="false" ht="14.25" hidden="false" customHeight="true" outlineLevel="0" collapsed="false">
      <c r="A851" s="3" t="s">
        <v>1259</v>
      </c>
      <c r="B851" s="3" t="s">
        <v>1260</v>
      </c>
      <c r="C851" s="3" t="n">
        <v>223527</v>
      </c>
      <c r="D851" s="3" t="s">
        <v>1452</v>
      </c>
      <c r="E851" s="18" t="n">
        <v>45393</v>
      </c>
      <c r="F851" s="3" t="s">
        <v>1262</v>
      </c>
      <c r="G851" s="3" t="s">
        <v>1275</v>
      </c>
      <c r="H851" s="19"/>
      <c r="I851" s="19"/>
      <c r="J851" s="20"/>
      <c r="K851" s="20"/>
      <c r="L851" s="19"/>
      <c r="M851" s="19"/>
      <c r="N851" s="19"/>
      <c r="O851" s="20"/>
      <c r="P851" s="20"/>
    </row>
    <row r="852" customFormat="false" ht="14.25" hidden="false" customHeight="true" outlineLevel="0" collapsed="false">
      <c r="A852" s="3" t="s">
        <v>1259</v>
      </c>
      <c r="B852" s="3" t="s">
        <v>1260</v>
      </c>
      <c r="C852" s="3" t="n">
        <v>223527</v>
      </c>
      <c r="D852" s="3" t="s">
        <v>1278</v>
      </c>
      <c r="E852" s="18" t="n">
        <v>45412</v>
      </c>
      <c r="F852" s="3" t="s">
        <v>1262</v>
      </c>
      <c r="G852" s="3" t="s">
        <v>5</v>
      </c>
      <c r="H852" s="19"/>
      <c r="I852" s="19"/>
      <c r="J852" s="20"/>
      <c r="K852" s="20"/>
      <c r="L852" s="19"/>
      <c r="M852" s="19"/>
      <c r="N852" s="19"/>
      <c r="O852" s="20"/>
      <c r="P852" s="20"/>
    </row>
    <row r="853" customFormat="false" ht="14.25" hidden="false" customHeight="true" outlineLevel="0" collapsed="false">
      <c r="A853" s="3" t="s">
        <v>1259</v>
      </c>
      <c r="B853" s="3" t="s">
        <v>1260</v>
      </c>
      <c r="C853" s="3" t="n">
        <v>223527</v>
      </c>
      <c r="D853" s="3" t="s">
        <v>1265</v>
      </c>
      <c r="F853" s="3" t="s">
        <v>1262</v>
      </c>
      <c r="G853" s="3" t="s">
        <v>5</v>
      </c>
      <c r="H853" s="19"/>
      <c r="I853" s="19"/>
      <c r="J853" s="20"/>
      <c r="K853" s="20"/>
      <c r="L853" s="19"/>
      <c r="M853" s="19"/>
      <c r="N853" s="19"/>
      <c r="O853" s="20"/>
      <c r="P853" s="20"/>
    </row>
    <row r="854" customFormat="false" ht="14.25" hidden="false" customHeight="true" outlineLevel="0" collapsed="false">
      <c r="A854" s="3" t="s">
        <v>1259</v>
      </c>
      <c r="B854" s="3" t="s">
        <v>1260</v>
      </c>
      <c r="C854" s="3" t="n">
        <v>223531</v>
      </c>
      <c r="D854" s="3" t="s">
        <v>1261</v>
      </c>
      <c r="E854" s="18" t="n">
        <v>45330</v>
      </c>
      <c r="F854" s="3" t="s">
        <v>1262</v>
      </c>
      <c r="G854" s="3" t="s">
        <v>5</v>
      </c>
      <c r="H854" s="19" t="n">
        <v>45330</v>
      </c>
      <c r="I854" s="19" t="n">
        <v>45216</v>
      </c>
      <c r="J854" s="20" t="n">
        <v>71</v>
      </c>
      <c r="K854" s="20" t="s">
        <v>1313</v>
      </c>
      <c r="L854" s="19" t="s">
        <v>12</v>
      </c>
      <c r="M854" s="19"/>
      <c r="N854" s="19"/>
      <c r="O854" s="20"/>
      <c r="P854" s="20"/>
    </row>
    <row r="855" customFormat="false" ht="14.25" hidden="false" customHeight="true" outlineLevel="0" collapsed="false">
      <c r="A855" s="3" t="s">
        <v>1259</v>
      </c>
      <c r="B855" s="3" t="s">
        <v>1260</v>
      </c>
      <c r="C855" s="3" t="n">
        <v>223531</v>
      </c>
      <c r="D855" s="3" t="s">
        <v>1264</v>
      </c>
      <c r="E855" s="18" t="n">
        <v>45351</v>
      </c>
      <c r="F855" s="3" t="s">
        <v>1262</v>
      </c>
      <c r="G855" s="3" t="s">
        <v>5</v>
      </c>
      <c r="H855" s="19"/>
      <c r="I855" s="19"/>
      <c r="J855" s="20"/>
      <c r="K855" s="20"/>
      <c r="L855" s="19"/>
      <c r="M855" s="19"/>
      <c r="N855" s="19"/>
      <c r="O855" s="20"/>
      <c r="P855" s="20"/>
    </row>
    <row r="856" customFormat="false" ht="14.25" hidden="false" customHeight="true" outlineLevel="0" collapsed="false">
      <c r="A856" s="3" t="s">
        <v>1259</v>
      </c>
      <c r="B856" s="3" t="s">
        <v>1260</v>
      </c>
      <c r="C856" s="3" t="n">
        <v>223531</v>
      </c>
      <c r="D856" s="3" t="s">
        <v>1266</v>
      </c>
      <c r="E856" s="18" t="n">
        <v>45357</v>
      </c>
      <c r="F856" s="3" t="s">
        <v>1262</v>
      </c>
      <c r="G856" s="3" t="s">
        <v>5</v>
      </c>
      <c r="H856" s="19"/>
      <c r="I856" s="19"/>
      <c r="J856" s="20"/>
      <c r="K856" s="20"/>
      <c r="L856" s="19"/>
      <c r="M856" s="19"/>
      <c r="N856" s="19"/>
      <c r="O856" s="20"/>
      <c r="P856" s="20"/>
    </row>
    <row r="857" customFormat="false" ht="14.25" hidden="false" customHeight="true" outlineLevel="0" collapsed="false">
      <c r="A857" s="3" t="s">
        <v>1259</v>
      </c>
      <c r="B857" s="3" t="s">
        <v>1260</v>
      </c>
      <c r="C857" s="3" t="n">
        <v>223531</v>
      </c>
      <c r="D857" s="3" t="s">
        <v>1269</v>
      </c>
      <c r="E857" s="18" t="n">
        <v>45364</v>
      </c>
      <c r="F857" s="3" t="s">
        <v>1262</v>
      </c>
      <c r="G857" s="3" t="s">
        <v>5</v>
      </c>
      <c r="H857" s="19"/>
      <c r="I857" s="19"/>
      <c r="J857" s="20"/>
      <c r="K857" s="20"/>
      <c r="L857" s="19"/>
      <c r="M857" s="19"/>
      <c r="N857" s="19"/>
      <c r="O857" s="20"/>
      <c r="P857" s="20"/>
    </row>
    <row r="858" customFormat="false" ht="14.25" hidden="false" customHeight="true" outlineLevel="0" collapsed="false">
      <c r="A858" s="3" t="s">
        <v>1259</v>
      </c>
      <c r="B858" s="3" t="s">
        <v>1260</v>
      </c>
      <c r="C858" s="3" t="n">
        <v>223531</v>
      </c>
      <c r="D858" s="3" t="s">
        <v>1271</v>
      </c>
      <c r="E858" s="18" t="n">
        <v>45371</v>
      </c>
      <c r="F858" s="3" t="s">
        <v>1262</v>
      </c>
      <c r="G858" s="3" t="s">
        <v>5</v>
      </c>
      <c r="H858" s="19"/>
      <c r="I858" s="19"/>
      <c r="J858" s="20"/>
      <c r="K858" s="20"/>
      <c r="L858" s="19"/>
      <c r="M858" s="19"/>
      <c r="N858" s="19"/>
      <c r="O858" s="20"/>
      <c r="P858" s="20"/>
    </row>
    <row r="859" customFormat="false" ht="14.25" hidden="false" customHeight="true" outlineLevel="0" collapsed="false">
      <c r="A859" s="3" t="s">
        <v>1259</v>
      </c>
      <c r="B859" s="3" t="s">
        <v>1260</v>
      </c>
      <c r="C859" s="3" t="n">
        <v>223531</v>
      </c>
      <c r="D859" s="3" t="s">
        <v>1272</v>
      </c>
      <c r="E859" s="18" t="n">
        <v>45373</v>
      </c>
      <c r="F859" s="3" t="s">
        <v>1262</v>
      </c>
      <c r="G859" s="3" t="s">
        <v>5</v>
      </c>
      <c r="H859" s="19"/>
      <c r="I859" s="19"/>
      <c r="J859" s="20"/>
      <c r="K859" s="20"/>
      <c r="L859" s="19"/>
      <c r="M859" s="19"/>
      <c r="N859" s="19"/>
      <c r="O859" s="20"/>
      <c r="P859" s="20"/>
    </row>
    <row r="860" customFormat="false" ht="14.25" hidden="false" customHeight="true" outlineLevel="0" collapsed="false">
      <c r="A860" s="3" t="s">
        <v>1259</v>
      </c>
      <c r="B860" s="3" t="s">
        <v>1260</v>
      </c>
      <c r="C860" s="3" t="n">
        <v>223531</v>
      </c>
      <c r="D860" s="3" t="s">
        <v>1276</v>
      </c>
      <c r="E860" s="18" t="n">
        <v>45391</v>
      </c>
      <c r="F860" s="3" t="s">
        <v>1262</v>
      </c>
      <c r="G860" s="3" t="s">
        <v>5</v>
      </c>
      <c r="H860" s="19"/>
      <c r="I860" s="19"/>
      <c r="J860" s="20"/>
      <c r="K860" s="20"/>
      <c r="L860" s="19"/>
      <c r="M860" s="19"/>
      <c r="N860" s="19"/>
      <c r="O860" s="20"/>
      <c r="P860" s="20"/>
    </row>
    <row r="861" customFormat="false" ht="14.25" hidden="false" customHeight="true" outlineLevel="0" collapsed="false">
      <c r="A861" s="3" t="s">
        <v>1259</v>
      </c>
      <c r="B861" s="3" t="s">
        <v>1260</v>
      </c>
      <c r="C861" s="3" t="n">
        <v>223531</v>
      </c>
      <c r="D861" s="3" t="s">
        <v>1461</v>
      </c>
      <c r="E861" s="18" t="n">
        <v>45399</v>
      </c>
      <c r="F861" s="3" t="s">
        <v>1262</v>
      </c>
      <c r="G861" s="3" t="s">
        <v>1275</v>
      </c>
      <c r="H861" s="19"/>
      <c r="I861" s="19"/>
      <c r="J861" s="20"/>
      <c r="K861" s="20"/>
      <c r="L861" s="19"/>
      <c r="M861" s="19"/>
      <c r="N861" s="19"/>
      <c r="O861" s="20"/>
      <c r="P861" s="20"/>
    </row>
    <row r="862" customFormat="false" ht="14.25" hidden="false" customHeight="true" outlineLevel="0" collapsed="false">
      <c r="A862" s="3" t="s">
        <v>1259</v>
      </c>
      <c r="B862" s="3" t="s">
        <v>1260</v>
      </c>
      <c r="C862" s="3" t="n">
        <v>223531</v>
      </c>
      <c r="D862" s="3" t="s">
        <v>1278</v>
      </c>
      <c r="E862" s="18" t="n">
        <v>45412</v>
      </c>
      <c r="F862" s="3" t="s">
        <v>1262</v>
      </c>
      <c r="G862" s="3" t="s">
        <v>5</v>
      </c>
      <c r="H862" s="19"/>
      <c r="I862" s="19"/>
      <c r="J862" s="20"/>
      <c r="K862" s="20"/>
      <c r="L862" s="19"/>
      <c r="M862" s="19"/>
      <c r="N862" s="19"/>
      <c r="O862" s="20"/>
      <c r="P862" s="20"/>
    </row>
    <row r="863" customFormat="false" ht="14.25" hidden="false" customHeight="true" outlineLevel="0" collapsed="false">
      <c r="A863" s="3" t="s">
        <v>1259</v>
      </c>
      <c r="B863" s="3" t="s">
        <v>1260</v>
      </c>
      <c r="C863" s="3" t="n">
        <v>223531</v>
      </c>
      <c r="D863" s="3" t="s">
        <v>1265</v>
      </c>
      <c r="F863" s="3" t="s">
        <v>1262</v>
      </c>
      <c r="G863" s="3" t="s">
        <v>5</v>
      </c>
      <c r="H863" s="19"/>
      <c r="I863" s="19"/>
      <c r="J863" s="20"/>
      <c r="K863" s="20"/>
      <c r="L863" s="19"/>
      <c r="M863" s="19"/>
      <c r="N863" s="19"/>
      <c r="O863" s="20"/>
      <c r="P863" s="20"/>
    </row>
    <row r="864" customFormat="false" ht="14.25" hidden="false" customHeight="true" outlineLevel="0" collapsed="false">
      <c r="A864" s="3" t="s">
        <v>1259</v>
      </c>
      <c r="B864" s="3" t="s">
        <v>1260</v>
      </c>
      <c r="C864" s="3" t="n">
        <v>223539</v>
      </c>
      <c r="D864" s="3" t="s">
        <v>1261</v>
      </c>
      <c r="E864" s="18" t="n">
        <v>45338</v>
      </c>
      <c r="F864" s="3" t="s">
        <v>1262</v>
      </c>
      <c r="G864" s="3" t="s">
        <v>5</v>
      </c>
      <c r="H864" s="19" t="n">
        <v>45338</v>
      </c>
      <c r="I864" s="19" t="n">
        <v>45216</v>
      </c>
      <c r="J864" s="20" t="n">
        <v>67</v>
      </c>
      <c r="K864" s="20" t="s">
        <v>1263</v>
      </c>
      <c r="L864" s="19" t="s">
        <v>12</v>
      </c>
      <c r="M864" s="19"/>
      <c r="N864" s="19"/>
      <c r="O864" s="20"/>
      <c r="P864" s="20"/>
    </row>
    <row r="865" customFormat="false" ht="14.25" hidden="false" customHeight="true" outlineLevel="0" collapsed="false">
      <c r="A865" s="3" t="s">
        <v>1259</v>
      </c>
      <c r="B865" s="3" t="s">
        <v>1260</v>
      </c>
      <c r="C865" s="3" t="n">
        <v>223539</v>
      </c>
      <c r="D865" s="3" t="s">
        <v>1264</v>
      </c>
      <c r="E865" s="18" t="n">
        <v>45357</v>
      </c>
      <c r="F865" s="3" t="s">
        <v>1262</v>
      </c>
      <c r="G865" s="3" t="s">
        <v>5</v>
      </c>
      <c r="H865" s="19"/>
      <c r="I865" s="19"/>
      <c r="J865" s="20"/>
      <c r="K865" s="20"/>
      <c r="L865" s="19"/>
      <c r="M865" s="19"/>
      <c r="N865" s="19"/>
      <c r="O865" s="20"/>
      <c r="P865" s="20"/>
    </row>
    <row r="866" customFormat="false" ht="14.25" hidden="false" customHeight="true" outlineLevel="0" collapsed="false">
      <c r="A866" s="3" t="s">
        <v>1259</v>
      </c>
      <c r="B866" s="3" t="s">
        <v>1260</v>
      </c>
      <c r="C866" s="3" t="n">
        <v>223539</v>
      </c>
      <c r="D866" s="3" t="s">
        <v>1265</v>
      </c>
      <c r="E866" s="18" t="n">
        <v>45359</v>
      </c>
      <c r="F866" s="3" t="s">
        <v>1262</v>
      </c>
      <c r="G866" s="3" t="s">
        <v>5</v>
      </c>
      <c r="H866" s="19"/>
      <c r="I866" s="19"/>
      <c r="J866" s="20"/>
      <c r="K866" s="20"/>
      <c r="L866" s="19"/>
      <c r="M866" s="19"/>
      <c r="N866" s="19"/>
      <c r="O866" s="20"/>
      <c r="P866" s="20"/>
    </row>
    <row r="867" customFormat="false" ht="14.25" hidden="false" customHeight="true" outlineLevel="0" collapsed="false">
      <c r="A867" s="3" t="s">
        <v>1259</v>
      </c>
      <c r="B867" s="3" t="s">
        <v>1260</v>
      </c>
      <c r="C867" s="3" t="n">
        <v>223539</v>
      </c>
      <c r="D867" s="3" t="s">
        <v>1266</v>
      </c>
      <c r="E867" s="18" t="n">
        <v>45364</v>
      </c>
      <c r="F867" s="3" t="s">
        <v>1262</v>
      </c>
      <c r="G867" s="3" t="s">
        <v>5</v>
      </c>
      <c r="H867" s="19"/>
      <c r="I867" s="19"/>
      <c r="J867" s="20"/>
      <c r="K867" s="20"/>
      <c r="L867" s="19"/>
      <c r="M867" s="19"/>
      <c r="N867" s="19"/>
      <c r="O867" s="20"/>
      <c r="P867" s="20"/>
    </row>
    <row r="868" customFormat="false" ht="14.25" hidden="false" customHeight="true" outlineLevel="0" collapsed="false">
      <c r="A868" s="3" t="s">
        <v>1259</v>
      </c>
      <c r="B868" s="3" t="s">
        <v>1260</v>
      </c>
      <c r="C868" s="3" t="n">
        <v>223539</v>
      </c>
      <c r="D868" s="3" t="s">
        <v>1269</v>
      </c>
      <c r="E868" s="18" t="n">
        <v>45370</v>
      </c>
      <c r="F868" s="3" t="s">
        <v>1262</v>
      </c>
      <c r="G868" s="3" t="s">
        <v>5</v>
      </c>
      <c r="H868" s="19"/>
      <c r="I868" s="19"/>
      <c r="J868" s="20"/>
      <c r="K868" s="20"/>
      <c r="L868" s="19"/>
      <c r="M868" s="19"/>
      <c r="N868" s="19"/>
      <c r="O868" s="20"/>
      <c r="P868" s="20"/>
    </row>
    <row r="869" customFormat="false" ht="14.25" hidden="false" customHeight="true" outlineLevel="0" collapsed="false">
      <c r="A869" s="3" t="s">
        <v>1259</v>
      </c>
      <c r="B869" s="3" t="s">
        <v>1260</v>
      </c>
      <c r="C869" s="3" t="n">
        <v>223539</v>
      </c>
      <c r="D869" s="3" t="s">
        <v>1462</v>
      </c>
      <c r="E869" s="18" t="n">
        <v>45378</v>
      </c>
      <c r="F869" s="3" t="s">
        <v>1262</v>
      </c>
      <c r="G869" s="3" t="s">
        <v>1268</v>
      </c>
      <c r="H869" s="19"/>
      <c r="I869" s="19"/>
      <c r="J869" s="20"/>
      <c r="K869" s="20"/>
      <c r="L869" s="19"/>
      <c r="M869" s="19"/>
      <c r="N869" s="19"/>
      <c r="O869" s="20"/>
      <c r="P869" s="20"/>
    </row>
    <row r="870" customFormat="false" ht="14.25" hidden="false" customHeight="true" outlineLevel="0" collapsed="false">
      <c r="A870" s="3" t="s">
        <v>1259</v>
      </c>
      <c r="B870" s="3" t="s">
        <v>1260</v>
      </c>
      <c r="C870" s="3" t="n">
        <v>223539</v>
      </c>
      <c r="D870" s="3" t="s">
        <v>1271</v>
      </c>
      <c r="E870" s="18" t="n">
        <v>45379</v>
      </c>
      <c r="F870" s="3" t="s">
        <v>1262</v>
      </c>
      <c r="G870" s="3" t="s">
        <v>5</v>
      </c>
      <c r="H870" s="19"/>
      <c r="I870" s="19"/>
      <c r="J870" s="20"/>
      <c r="K870" s="20"/>
      <c r="L870" s="19"/>
      <c r="M870" s="19"/>
      <c r="N870" s="19"/>
      <c r="O870" s="20"/>
      <c r="P870" s="20"/>
    </row>
    <row r="871" customFormat="false" ht="14.25" hidden="false" customHeight="true" outlineLevel="0" collapsed="false">
      <c r="A871" s="3" t="s">
        <v>1259</v>
      </c>
      <c r="B871" s="3" t="s">
        <v>1260</v>
      </c>
      <c r="C871" s="3" t="n">
        <v>223539</v>
      </c>
      <c r="D871" s="3" t="s">
        <v>1276</v>
      </c>
      <c r="E871" s="18" t="n">
        <v>45399</v>
      </c>
      <c r="F871" s="3" t="s">
        <v>1262</v>
      </c>
      <c r="G871" s="3" t="s">
        <v>5</v>
      </c>
      <c r="H871" s="19"/>
      <c r="I871" s="19"/>
      <c r="J871" s="20"/>
      <c r="K871" s="20"/>
      <c r="L871" s="19"/>
      <c r="M871" s="19"/>
      <c r="N871" s="19"/>
      <c r="O871" s="20"/>
      <c r="P871" s="20"/>
    </row>
    <row r="872" customFormat="false" ht="14.25" hidden="false" customHeight="true" outlineLevel="0" collapsed="false">
      <c r="A872" s="3" t="s">
        <v>1259</v>
      </c>
      <c r="B872" s="3" t="s">
        <v>1260</v>
      </c>
      <c r="C872" s="3" t="n">
        <v>223539</v>
      </c>
      <c r="D872" s="3" t="s">
        <v>1429</v>
      </c>
      <c r="E872" s="18" t="n">
        <v>45404</v>
      </c>
      <c r="F872" s="3" t="s">
        <v>1262</v>
      </c>
      <c r="G872" s="3" t="s">
        <v>1275</v>
      </c>
      <c r="H872" s="19"/>
      <c r="I872" s="19"/>
      <c r="J872" s="20"/>
      <c r="K872" s="20"/>
      <c r="L872" s="19"/>
      <c r="M872" s="19"/>
      <c r="N872" s="19"/>
      <c r="O872" s="20"/>
      <c r="P872" s="20"/>
    </row>
    <row r="873" customFormat="false" ht="14.25" hidden="false" customHeight="true" outlineLevel="0" collapsed="false">
      <c r="A873" s="3" t="s">
        <v>1259</v>
      </c>
      <c r="B873" s="3" t="s">
        <v>1260</v>
      </c>
      <c r="C873" s="3" t="n">
        <v>223539</v>
      </c>
      <c r="D873" s="3" t="s">
        <v>1278</v>
      </c>
      <c r="E873" s="18" t="n">
        <v>45420</v>
      </c>
      <c r="F873" s="3" t="s">
        <v>1262</v>
      </c>
      <c r="G873" s="3" t="s">
        <v>5</v>
      </c>
      <c r="H873" s="19"/>
      <c r="I873" s="19"/>
      <c r="J873" s="20"/>
      <c r="K873" s="20"/>
      <c r="L873" s="19"/>
      <c r="M873" s="19"/>
      <c r="N873" s="19"/>
      <c r="O873" s="20"/>
      <c r="P873" s="20"/>
    </row>
    <row r="874" customFormat="false" ht="14.25" hidden="false" customHeight="true" outlineLevel="0" collapsed="false">
      <c r="A874" s="3" t="s">
        <v>1259</v>
      </c>
      <c r="B874" s="3" t="s">
        <v>1260</v>
      </c>
      <c r="C874" s="3" t="n">
        <v>223539</v>
      </c>
      <c r="D874" s="3" t="s">
        <v>1272</v>
      </c>
      <c r="F874" s="3" t="s">
        <v>1262</v>
      </c>
      <c r="G874" s="3" t="s">
        <v>5</v>
      </c>
      <c r="H874" s="19"/>
      <c r="I874" s="19"/>
      <c r="J874" s="20"/>
      <c r="K874" s="20"/>
      <c r="L874" s="19"/>
      <c r="M874" s="19"/>
      <c r="N874" s="19"/>
      <c r="O874" s="20"/>
      <c r="P874" s="20"/>
    </row>
    <row r="875" customFormat="false" ht="14.25" hidden="false" customHeight="true" outlineLevel="0" collapsed="false">
      <c r="A875" s="3" t="s">
        <v>1259</v>
      </c>
      <c r="B875" s="3" t="s">
        <v>1260</v>
      </c>
      <c r="C875" s="3" t="n">
        <v>223547</v>
      </c>
      <c r="D875" s="3" t="s">
        <v>1261</v>
      </c>
      <c r="E875" s="18" t="n">
        <v>45343</v>
      </c>
      <c r="F875" s="3" t="s">
        <v>1262</v>
      </c>
      <c r="G875" s="3" t="s">
        <v>5</v>
      </c>
      <c r="H875" s="19" t="n">
        <v>45343</v>
      </c>
      <c r="I875" s="19" t="n">
        <v>45216</v>
      </c>
      <c r="J875" s="20" t="n">
        <v>61</v>
      </c>
      <c r="K875" s="20" t="s">
        <v>1313</v>
      </c>
      <c r="L875" s="19" t="s">
        <v>12</v>
      </c>
      <c r="M875" s="19"/>
      <c r="N875" s="19"/>
      <c r="O875" s="20"/>
      <c r="P875" s="20"/>
    </row>
    <row r="876" customFormat="false" ht="14.25" hidden="false" customHeight="true" outlineLevel="0" collapsed="false">
      <c r="A876" s="3" t="s">
        <v>1259</v>
      </c>
      <c r="B876" s="3" t="s">
        <v>1260</v>
      </c>
      <c r="C876" s="3" t="n">
        <v>223547</v>
      </c>
      <c r="D876" s="3" t="s">
        <v>1264</v>
      </c>
      <c r="E876" s="18" t="n">
        <v>45364</v>
      </c>
      <c r="F876" s="3" t="s">
        <v>1262</v>
      </c>
      <c r="G876" s="3" t="s">
        <v>5</v>
      </c>
      <c r="H876" s="19"/>
      <c r="I876" s="19"/>
      <c r="J876" s="20"/>
      <c r="K876" s="20"/>
      <c r="L876" s="19"/>
      <c r="M876" s="19"/>
      <c r="N876" s="19"/>
      <c r="O876" s="20"/>
      <c r="P876" s="20"/>
    </row>
    <row r="877" customFormat="false" ht="14.25" hidden="false" customHeight="true" outlineLevel="0" collapsed="false">
      <c r="A877" s="3" t="s">
        <v>1259</v>
      </c>
      <c r="B877" s="3" t="s">
        <v>1260</v>
      </c>
      <c r="C877" s="3" t="n">
        <v>223547</v>
      </c>
      <c r="D877" s="3" t="s">
        <v>1265</v>
      </c>
      <c r="E877" s="18" t="n">
        <v>45366</v>
      </c>
      <c r="F877" s="3" t="s">
        <v>1262</v>
      </c>
      <c r="G877" s="3" t="s">
        <v>5</v>
      </c>
      <c r="H877" s="19"/>
      <c r="I877" s="19"/>
      <c r="J877" s="20"/>
      <c r="K877" s="20"/>
      <c r="L877" s="19"/>
      <c r="M877" s="19"/>
      <c r="N877" s="19"/>
      <c r="O877" s="20"/>
      <c r="P877" s="20"/>
    </row>
    <row r="878" customFormat="false" ht="14.25" hidden="false" customHeight="true" outlineLevel="0" collapsed="false">
      <c r="A878" s="3" t="s">
        <v>1259</v>
      </c>
      <c r="B878" s="3" t="s">
        <v>1260</v>
      </c>
      <c r="C878" s="3" t="n">
        <v>223547</v>
      </c>
      <c r="D878" s="3" t="s">
        <v>1266</v>
      </c>
      <c r="E878" s="18" t="n">
        <v>45371</v>
      </c>
      <c r="F878" s="3" t="s">
        <v>1262</v>
      </c>
      <c r="G878" s="3" t="s">
        <v>5</v>
      </c>
      <c r="H878" s="19"/>
      <c r="I878" s="19"/>
      <c r="J878" s="20"/>
      <c r="K878" s="20"/>
      <c r="L878" s="19"/>
      <c r="M878" s="19"/>
      <c r="N878" s="19"/>
      <c r="O878" s="20"/>
      <c r="P878" s="20"/>
    </row>
    <row r="879" customFormat="false" ht="14.25" hidden="false" customHeight="true" outlineLevel="0" collapsed="false">
      <c r="A879" s="3" t="s">
        <v>1259</v>
      </c>
      <c r="B879" s="3" t="s">
        <v>1260</v>
      </c>
      <c r="C879" s="3" t="n">
        <v>223547</v>
      </c>
      <c r="D879" s="3" t="s">
        <v>1269</v>
      </c>
      <c r="E879" s="18" t="n">
        <v>45378</v>
      </c>
      <c r="F879" s="3" t="s">
        <v>1262</v>
      </c>
      <c r="G879" s="3" t="s">
        <v>5</v>
      </c>
      <c r="H879" s="19"/>
      <c r="I879" s="19"/>
      <c r="J879" s="20"/>
      <c r="K879" s="20"/>
      <c r="L879" s="19"/>
      <c r="M879" s="19"/>
      <c r="N879" s="19"/>
      <c r="O879" s="20"/>
      <c r="P879" s="20"/>
    </row>
    <row r="880" customFormat="false" ht="14.25" hidden="false" customHeight="true" outlineLevel="0" collapsed="false">
      <c r="A880" s="3" t="s">
        <v>1259</v>
      </c>
      <c r="B880" s="3" t="s">
        <v>1260</v>
      </c>
      <c r="C880" s="3" t="n">
        <v>223547</v>
      </c>
      <c r="D880" s="3" t="s">
        <v>1271</v>
      </c>
      <c r="E880" s="18" t="n">
        <v>45385</v>
      </c>
      <c r="F880" s="3" t="s">
        <v>1262</v>
      </c>
      <c r="G880" s="3" t="s">
        <v>5</v>
      </c>
      <c r="H880" s="19"/>
      <c r="I880" s="19"/>
      <c r="J880" s="20"/>
      <c r="K880" s="20"/>
      <c r="L880" s="19"/>
      <c r="M880" s="19"/>
      <c r="N880" s="19"/>
      <c r="O880" s="20"/>
      <c r="P880" s="20"/>
    </row>
    <row r="881" customFormat="false" ht="14.25" hidden="false" customHeight="true" outlineLevel="0" collapsed="false">
      <c r="A881" s="3" t="s">
        <v>1259</v>
      </c>
      <c r="B881" s="3" t="s">
        <v>1260</v>
      </c>
      <c r="C881" s="3" t="n">
        <v>223547</v>
      </c>
      <c r="D881" s="3" t="s">
        <v>1272</v>
      </c>
      <c r="E881" s="18" t="n">
        <v>45387</v>
      </c>
      <c r="F881" s="3" t="s">
        <v>1262</v>
      </c>
      <c r="G881" s="3" t="s">
        <v>5</v>
      </c>
      <c r="H881" s="19"/>
      <c r="I881" s="19"/>
      <c r="J881" s="20"/>
      <c r="K881" s="20"/>
      <c r="L881" s="19"/>
      <c r="M881" s="19"/>
      <c r="N881" s="19"/>
      <c r="O881" s="20"/>
      <c r="P881" s="20"/>
    </row>
    <row r="882" customFormat="false" ht="14.25" hidden="false" customHeight="true" outlineLevel="0" collapsed="false">
      <c r="A882" s="3" t="s">
        <v>1259</v>
      </c>
      <c r="B882" s="3" t="s">
        <v>1260</v>
      </c>
      <c r="C882" s="3" t="n">
        <v>223547</v>
      </c>
      <c r="D882" s="3" t="s">
        <v>1276</v>
      </c>
      <c r="E882" s="18" t="n">
        <v>45406</v>
      </c>
      <c r="F882" s="3" t="s">
        <v>1262</v>
      </c>
      <c r="G882" s="3" t="s">
        <v>5</v>
      </c>
      <c r="H882" s="19"/>
      <c r="I882" s="19"/>
      <c r="J882" s="20"/>
      <c r="K882" s="20"/>
      <c r="L882" s="19"/>
      <c r="M882" s="19"/>
      <c r="N882" s="19"/>
      <c r="O882" s="20"/>
      <c r="P882" s="20"/>
    </row>
    <row r="883" customFormat="false" ht="14.25" hidden="false" customHeight="true" outlineLevel="0" collapsed="false">
      <c r="A883" s="3" t="s">
        <v>1259</v>
      </c>
      <c r="B883" s="3" t="s">
        <v>1260</v>
      </c>
      <c r="C883" s="3" t="n">
        <v>223547</v>
      </c>
      <c r="D883" s="3" t="s">
        <v>1435</v>
      </c>
      <c r="E883" s="18" t="n">
        <v>45406</v>
      </c>
      <c r="F883" s="3" t="s">
        <v>1262</v>
      </c>
      <c r="G883" s="3" t="s">
        <v>1275</v>
      </c>
      <c r="H883" s="19"/>
      <c r="I883" s="19"/>
      <c r="J883" s="20"/>
      <c r="K883" s="20"/>
      <c r="L883" s="19"/>
      <c r="M883" s="19"/>
      <c r="N883" s="19"/>
      <c r="O883" s="20"/>
      <c r="P883" s="20"/>
    </row>
    <row r="884" customFormat="false" ht="14.25" hidden="false" customHeight="true" outlineLevel="0" collapsed="false">
      <c r="A884" s="3" t="s">
        <v>1259</v>
      </c>
      <c r="B884" s="3" t="s">
        <v>1260</v>
      </c>
      <c r="C884" s="3" t="n">
        <v>223547</v>
      </c>
      <c r="D884" s="3" t="s">
        <v>1278</v>
      </c>
      <c r="E884" s="18" t="n">
        <v>45425</v>
      </c>
      <c r="F884" s="3" t="s">
        <v>1262</v>
      </c>
      <c r="G884" s="3" t="s">
        <v>5</v>
      </c>
      <c r="H884" s="19"/>
      <c r="I884" s="19"/>
      <c r="J884" s="20"/>
      <c r="K884" s="20"/>
      <c r="L884" s="19"/>
      <c r="M884" s="19"/>
      <c r="N884" s="19"/>
      <c r="O884" s="20"/>
      <c r="P884" s="20"/>
    </row>
    <row r="885" customFormat="false" ht="14.25" hidden="false" customHeight="true" outlineLevel="0" collapsed="false">
      <c r="A885" s="3" t="s">
        <v>1259</v>
      </c>
      <c r="B885" s="3" t="s">
        <v>1260</v>
      </c>
      <c r="C885" s="3" t="n">
        <v>223550</v>
      </c>
      <c r="D885" s="3" t="s">
        <v>1261</v>
      </c>
      <c r="E885" s="18" t="n">
        <v>45344</v>
      </c>
      <c r="F885" s="3" t="s">
        <v>1262</v>
      </c>
      <c r="G885" s="3" t="s">
        <v>5</v>
      </c>
      <c r="H885" s="19" t="n">
        <v>45344</v>
      </c>
      <c r="I885" s="19" t="n">
        <v>45216</v>
      </c>
      <c r="J885" s="20" t="n">
        <v>65</v>
      </c>
      <c r="K885" s="20" t="s">
        <v>1313</v>
      </c>
      <c r="L885" s="19" t="s">
        <v>12</v>
      </c>
      <c r="M885" s="19"/>
      <c r="N885" s="19"/>
      <c r="O885" s="20"/>
      <c r="P885" s="20"/>
    </row>
    <row r="886" customFormat="false" ht="14.25" hidden="false" customHeight="true" outlineLevel="0" collapsed="false">
      <c r="A886" s="3" t="s">
        <v>1259</v>
      </c>
      <c r="B886" s="3" t="s">
        <v>1260</v>
      </c>
      <c r="C886" s="3" t="n">
        <v>223550</v>
      </c>
      <c r="D886" s="3" t="s">
        <v>1264</v>
      </c>
      <c r="E886" s="18" t="n">
        <v>45362</v>
      </c>
      <c r="F886" s="3" t="s">
        <v>1262</v>
      </c>
      <c r="G886" s="3" t="s">
        <v>5</v>
      </c>
      <c r="H886" s="19"/>
      <c r="I886" s="19"/>
      <c r="J886" s="20"/>
      <c r="K886" s="20"/>
      <c r="L886" s="19"/>
      <c r="M886" s="19"/>
      <c r="N886" s="19"/>
      <c r="O886" s="20"/>
      <c r="P886" s="20"/>
    </row>
    <row r="887" customFormat="false" ht="14.25" hidden="false" customHeight="true" outlineLevel="0" collapsed="false">
      <c r="A887" s="3" t="s">
        <v>1259</v>
      </c>
      <c r="B887" s="3" t="s">
        <v>1260</v>
      </c>
      <c r="C887" s="3" t="n">
        <v>223550</v>
      </c>
      <c r="D887" s="3" t="s">
        <v>1265</v>
      </c>
      <c r="E887" s="18" t="n">
        <v>45364</v>
      </c>
      <c r="F887" s="3" t="s">
        <v>1262</v>
      </c>
      <c r="G887" s="3" t="s">
        <v>5</v>
      </c>
      <c r="H887" s="19"/>
      <c r="I887" s="19"/>
      <c r="J887" s="20"/>
      <c r="K887" s="20"/>
      <c r="L887" s="19"/>
      <c r="M887" s="19"/>
      <c r="N887" s="19"/>
      <c r="O887" s="20"/>
      <c r="P887" s="20"/>
    </row>
    <row r="888" customFormat="false" ht="14.25" hidden="false" customHeight="true" outlineLevel="0" collapsed="false">
      <c r="A888" s="3" t="s">
        <v>1259</v>
      </c>
      <c r="B888" s="3" t="s">
        <v>1260</v>
      </c>
      <c r="C888" s="3" t="n">
        <v>223550</v>
      </c>
      <c r="D888" s="3" t="s">
        <v>1266</v>
      </c>
      <c r="E888" s="18" t="n">
        <v>45369</v>
      </c>
      <c r="F888" s="3" t="s">
        <v>1262</v>
      </c>
      <c r="G888" s="3" t="s">
        <v>5</v>
      </c>
      <c r="H888" s="19"/>
      <c r="I888" s="19"/>
      <c r="J888" s="20"/>
      <c r="K888" s="20"/>
      <c r="L888" s="19"/>
      <c r="M888" s="19"/>
      <c r="N888" s="19"/>
      <c r="O888" s="20"/>
      <c r="P888" s="20"/>
    </row>
    <row r="889" customFormat="false" ht="14.25" hidden="false" customHeight="true" outlineLevel="0" collapsed="false">
      <c r="A889" s="3" t="s">
        <v>1259</v>
      </c>
      <c r="B889" s="3" t="s">
        <v>1260</v>
      </c>
      <c r="C889" s="3" t="n">
        <v>223550</v>
      </c>
      <c r="D889" s="3" t="s">
        <v>1269</v>
      </c>
      <c r="E889" s="18" t="n">
        <v>45376</v>
      </c>
      <c r="F889" s="3" t="s">
        <v>1262</v>
      </c>
      <c r="G889" s="3" t="s">
        <v>5</v>
      </c>
      <c r="H889" s="19"/>
      <c r="I889" s="19"/>
      <c r="J889" s="20"/>
      <c r="K889" s="20"/>
      <c r="L889" s="19"/>
      <c r="M889" s="19"/>
      <c r="N889" s="19"/>
      <c r="O889" s="20"/>
      <c r="P889" s="20"/>
    </row>
    <row r="890" customFormat="false" ht="14.25" hidden="false" customHeight="true" outlineLevel="0" collapsed="false">
      <c r="A890" s="3" t="s">
        <v>1259</v>
      </c>
      <c r="B890" s="3" t="s">
        <v>1260</v>
      </c>
      <c r="C890" s="3" t="n">
        <v>223550</v>
      </c>
      <c r="D890" s="3" t="s">
        <v>1271</v>
      </c>
      <c r="E890" s="18" t="n">
        <v>45383</v>
      </c>
      <c r="F890" s="3" t="s">
        <v>1262</v>
      </c>
      <c r="G890" s="3" t="s">
        <v>5</v>
      </c>
      <c r="H890" s="19"/>
      <c r="I890" s="19"/>
      <c r="J890" s="20"/>
      <c r="K890" s="20"/>
      <c r="L890" s="19"/>
      <c r="M890" s="19"/>
      <c r="N890" s="19"/>
      <c r="O890" s="20"/>
      <c r="P890" s="20"/>
    </row>
    <row r="891" customFormat="false" ht="14.25" hidden="false" customHeight="true" outlineLevel="0" collapsed="false">
      <c r="A891" s="3" t="s">
        <v>1259</v>
      </c>
      <c r="B891" s="3" t="s">
        <v>1260</v>
      </c>
      <c r="C891" s="3" t="n">
        <v>223550</v>
      </c>
      <c r="D891" s="3" t="s">
        <v>1272</v>
      </c>
      <c r="E891" s="18" t="n">
        <v>45385</v>
      </c>
      <c r="F891" s="3" t="s">
        <v>1262</v>
      </c>
      <c r="G891" s="3" t="s">
        <v>5</v>
      </c>
      <c r="H891" s="19"/>
      <c r="I891" s="19"/>
      <c r="J891" s="20"/>
      <c r="K891" s="20"/>
      <c r="L891" s="19"/>
      <c r="M891" s="19"/>
      <c r="N891" s="19"/>
      <c r="O891" s="20"/>
      <c r="P891" s="20"/>
    </row>
    <row r="892" customFormat="false" ht="14.25" hidden="false" customHeight="true" outlineLevel="0" collapsed="false">
      <c r="A892" s="3" t="s">
        <v>1259</v>
      </c>
      <c r="B892" s="3" t="s">
        <v>1260</v>
      </c>
      <c r="C892" s="3" t="n">
        <v>223550</v>
      </c>
      <c r="D892" s="3" t="s">
        <v>1276</v>
      </c>
      <c r="E892" s="18" t="n">
        <v>45404</v>
      </c>
      <c r="F892" s="3" t="s">
        <v>1262</v>
      </c>
      <c r="G892" s="3" t="s">
        <v>5</v>
      </c>
      <c r="H892" s="19"/>
      <c r="I892" s="19"/>
      <c r="J892" s="20"/>
      <c r="K892" s="20"/>
      <c r="L892" s="19"/>
      <c r="M892" s="19"/>
      <c r="N892" s="19"/>
      <c r="O892" s="20"/>
      <c r="P892" s="20"/>
    </row>
    <row r="893" customFormat="false" ht="14.25" hidden="false" customHeight="true" outlineLevel="0" collapsed="false">
      <c r="A893" s="3" t="s">
        <v>1259</v>
      </c>
      <c r="B893" s="3" t="s">
        <v>1260</v>
      </c>
      <c r="C893" s="3" t="n">
        <v>223550</v>
      </c>
      <c r="D893" s="3" t="s">
        <v>1429</v>
      </c>
      <c r="E893" s="18" t="n">
        <v>45404</v>
      </c>
      <c r="F893" s="3" t="s">
        <v>1262</v>
      </c>
      <c r="G893" s="3" t="s">
        <v>1275</v>
      </c>
      <c r="H893" s="19"/>
      <c r="I893" s="19"/>
      <c r="J893" s="20"/>
      <c r="K893" s="20"/>
      <c r="L893" s="19"/>
      <c r="M893" s="19"/>
      <c r="N893" s="19"/>
      <c r="O893" s="20"/>
      <c r="P893" s="20"/>
    </row>
    <row r="894" customFormat="false" ht="14.25" hidden="false" customHeight="true" outlineLevel="0" collapsed="false">
      <c r="A894" s="3" t="s">
        <v>1259</v>
      </c>
      <c r="B894" s="3" t="s">
        <v>1260</v>
      </c>
      <c r="C894" s="3" t="n">
        <v>223550</v>
      </c>
      <c r="D894" s="3" t="s">
        <v>1278</v>
      </c>
      <c r="E894" s="18" t="n">
        <v>45425</v>
      </c>
      <c r="F894" s="3" t="s">
        <v>1262</v>
      </c>
      <c r="G894" s="3" t="s">
        <v>5</v>
      </c>
      <c r="H894" s="19"/>
      <c r="I894" s="19"/>
      <c r="J894" s="20"/>
      <c r="K894" s="20"/>
      <c r="L894" s="19"/>
      <c r="M894" s="19"/>
      <c r="N894" s="19"/>
      <c r="O894" s="20"/>
      <c r="P894" s="20"/>
    </row>
    <row r="895" customFormat="false" ht="14.25" hidden="false" customHeight="true" outlineLevel="0" collapsed="false">
      <c r="A895" s="3" t="s">
        <v>1259</v>
      </c>
      <c r="B895" s="3" t="s">
        <v>1260</v>
      </c>
      <c r="C895" s="3" t="n">
        <v>223557</v>
      </c>
      <c r="D895" s="3" t="s">
        <v>1261</v>
      </c>
      <c r="E895" s="18" t="n">
        <v>45350</v>
      </c>
      <c r="F895" s="3" t="s">
        <v>1262</v>
      </c>
      <c r="G895" s="3" t="s">
        <v>5</v>
      </c>
      <c r="H895" s="19" t="n">
        <v>45350</v>
      </c>
      <c r="I895" s="19" t="n">
        <v>45216</v>
      </c>
      <c r="J895" s="20" t="n">
        <v>77</v>
      </c>
      <c r="K895" s="20" t="s">
        <v>1263</v>
      </c>
      <c r="L895" s="19" t="s">
        <v>12</v>
      </c>
      <c r="M895" s="19"/>
      <c r="N895" s="19"/>
      <c r="O895" s="20"/>
      <c r="P895" s="20"/>
    </row>
    <row r="896" customFormat="false" ht="14.25" hidden="false" customHeight="true" outlineLevel="0" collapsed="false">
      <c r="A896" s="3" t="s">
        <v>1259</v>
      </c>
      <c r="B896" s="3" t="s">
        <v>1260</v>
      </c>
      <c r="C896" s="3" t="n">
        <v>223557</v>
      </c>
      <c r="D896" s="3" t="s">
        <v>1264</v>
      </c>
      <c r="E896" s="18" t="n">
        <v>45364</v>
      </c>
      <c r="F896" s="3" t="s">
        <v>1262</v>
      </c>
      <c r="G896" s="3" t="s">
        <v>5</v>
      </c>
      <c r="H896" s="19"/>
      <c r="I896" s="19"/>
      <c r="J896" s="20"/>
      <c r="K896" s="20"/>
      <c r="L896" s="19"/>
      <c r="M896" s="19"/>
      <c r="N896" s="19"/>
      <c r="O896" s="20"/>
      <c r="P896" s="20"/>
    </row>
    <row r="897" customFormat="false" ht="14.25" hidden="false" customHeight="true" outlineLevel="0" collapsed="false">
      <c r="A897" s="3" t="s">
        <v>1259</v>
      </c>
      <c r="B897" s="3" t="s">
        <v>1260</v>
      </c>
      <c r="C897" s="3" t="n">
        <v>223557</v>
      </c>
      <c r="D897" s="3" t="s">
        <v>1266</v>
      </c>
      <c r="E897" s="18" t="n">
        <v>45371</v>
      </c>
      <c r="F897" s="3" t="s">
        <v>1262</v>
      </c>
      <c r="G897" s="3" t="s">
        <v>5</v>
      </c>
      <c r="H897" s="19"/>
      <c r="I897" s="19"/>
      <c r="J897" s="20"/>
      <c r="K897" s="20"/>
      <c r="L897" s="19"/>
      <c r="M897" s="19"/>
      <c r="N897" s="19"/>
      <c r="O897" s="20"/>
      <c r="P897" s="20"/>
    </row>
    <row r="898" customFormat="false" ht="14.25" hidden="false" customHeight="true" outlineLevel="0" collapsed="false">
      <c r="A898" s="3" t="s">
        <v>1259</v>
      </c>
      <c r="B898" s="3" t="s">
        <v>1260</v>
      </c>
      <c r="C898" s="3" t="n">
        <v>223557</v>
      </c>
      <c r="D898" s="3" t="s">
        <v>1269</v>
      </c>
      <c r="E898" s="18" t="n">
        <v>45378</v>
      </c>
      <c r="F898" s="3" t="s">
        <v>1262</v>
      </c>
      <c r="G898" s="3" t="s">
        <v>5</v>
      </c>
      <c r="H898" s="19"/>
      <c r="I898" s="19"/>
      <c r="J898" s="20"/>
      <c r="K898" s="20"/>
      <c r="L898" s="19"/>
      <c r="M898" s="19"/>
      <c r="N898" s="19"/>
      <c r="O898" s="20"/>
      <c r="P898" s="20"/>
    </row>
    <row r="899" customFormat="false" ht="14.25" hidden="false" customHeight="true" outlineLevel="0" collapsed="false">
      <c r="A899" s="3" t="s">
        <v>1259</v>
      </c>
      <c r="B899" s="3" t="s">
        <v>1260</v>
      </c>
      <c r="C899" s="3" t="n">
        <v>223557</v>
      </c>
      <c r="D899" s="3" t="s">
        <v>1271</v>
      </c>
      <c r="E899" s="18" t="n">
        <v>45385</v>
      </c>
      <c r="F899" s="3" t="s">
        <v>1262</v>
      </c>
      <c r="G899" s="3" t="s">
        <v>5</v>
      </c>
      <c r="H899" s="19"/>
      <c r="I899" s="19"/>
      <c r="J899" s="20"/>
      <c r="K899" s="20"/>
      <c r="L899" s="19"/>
      <c r="M899" s="19"/>
      <c r="N899" s="19"/>
      <c r="O899" s="20"/>
      <c r="P899" s="20"/>
    </row>
    <row r="900" customFormat="false" ht="14.25" hidden="false" customHeight="true" outlineLevel="0" collapsed="false">
      <c r="A900" s="3" t="s">
        <v>1259</v>
      </c>
      <c r="B900" s="3" t="s">
        <v>1260</v>
      </c>
      <c r="C900" s="3" t="n">
        <v>223557</v>
      </c>
      <c r="D900" s="3" t="s">
        <v>1276</v>
      </c>
      <c r="E900" s="18" t="n">
        <v>45406</v>
      </c>
      <c r="F900" s="3" t="s">
        <v>1262</v>
      </c>
      <c r="G900" s="3" t="s">
        <v>5</v>
      </c>
      <c r="H900" s="19"/>
      <c r="I900" s="19"/>
      <c r="J900" s="20"/>
      <c r="K900" s="20"/>
      <c r="L900" s="19"/>
      <c r="M900" s="19"/>
      <c r="N900" s="19"/>
      <c r="O900" s="20"/>
      <c r="P900" s="20"/>
    </row>
    <row r="901" customFormat="false" ht="14.25" hidden="false" customHeight="true" outlineLevel="0" collapsed="false">
      <c r="A901" s="3" t="s">
        <v>1259</v>
      </c>
      <c r="B901" s="3" t="s">
        <v>1260</v>
      </c>
      <c r="C901" s="3" t="n">
        <v>223557</v>
      </c>
      <c r="D901" s="3" t="s">
        <v>1435</v>
      </c>
      <c r="E901" s="18" t="n">
        <v>45406</v>
      </c>
      <c r="F901" s="3" t="s">
        <v>1262</v>
      </c>
      <c r="G901" s="3" t="s">
        <v>1275</v>
      </c>
      <c r="H901" s="19"/>
      <c r="I901" s="19"/>
      <c r="J901" s="20"/>
      <c r="K901" s="20"/>
      <c r="L901" s="19"/>
      <c r="M901" s="19"/>
      <c r="N901" s="19"/>
      <c r="O901" s="20"/>
      <c r="P901" s="20"/>
    </row>
    <row r="902" customFormat="false" ht="14.25" hidden="false" customHeight="true" outlineLevel="0" collapsed="false">
      <c r="A902" s="3" t="s">
        <v>1259</v>
      </c>
      <c r="B902" s="3" t="s">
        <v>1260</v>
      </c>
      <c r="C902" s="3" t="n">
        <v>223557</v>
      </c>
      <c r="D902" s="3" t="s">
        <v>1265</v>
      </c>
      <c r="F902" s="3" t="s">
        <v>1262</v>
      </c>
      <c r="G902" s="3" t="s">
        <v>5</v>
      </c>
      <c r="H902" s="19"/>
      <c r="I902" s="19"/>
      <c r="J902" s="20"/>
      <c r="K902" s="20"/>
      <c r="L902" s="19"/>
      <c r="M902" s="19"/>
      <c r="N902" s="19"/>
      <c r="O902" s="20"/>
      <c r="P902" s="20"/>
    </row>
    <row r="903" customFormat="false" ht="14.25" hidden="false" customHeight="true" outlineLevel="0" collapsed="false">
      <c r="A903" s="3" t="s">
        <v>1259</v>
      </c>
      <c r="B903" s="3" t="s">
        <v>1260</v>
      </c>
      <c r="C903" s="3" t="n">
        <v>223557</v>
      </c>
      <c r="D903" s="3" t="s">
        <v>1272</v>
      </c>
      <c r="F903" s="3" t="s">
        <v>1262</v>
      </c>
      <c r="G903" s="3" t="s">
        <v>5</v>
      </c>
      <c r="H903" s="19"/>
      <c r="I903" s="19"/>
      <c r="J903" s="20"/>
      <c r="K903" s="20"/>
      <c r="L903" s="19"/>
      <c r="M903" s="19"/>
      <c r="N903" s="19"/>
      <c r="O903" s="20"/>
      <c r="P903" s="20"/>
    </row>
    <row r="904" customFormat="false" ht="14.25" hidden="false" customHeight="true" outlineLevel="0" collapsed="false">
      <c r="A904" s="3" t="s">
        <v>1259</v>
      </c>
      <c r="B904" s="3" t="s">
        <v>1260</v>
      </c>
      <c r="C904" s="3" t="n">
        <v>223576</v>
      </c>
      <c r="D904" s="3" t="s">
        <v>1261</v>
      </c>
      <c r="E904" s="18" t="n">
        <v>45359</v>
      </c>
      <c r="F904" s="3" t="s">
        <v>1262</v>
      </c>
      <c r="G904" s="3" t="s">
        <v>5</v>
      </c>
      <c r="H904" s="19" t="n">
        <v>45359</v>
      </c>
      <c r="I904" s="19" t="n">
        <v>45216</v>
      </c>
      <c r="J904" s="20" t="n">
        <v>66</v>
      </c>
      <c r="K904" s="20" t="s">
        <v>1313</v>
      </c>
      <c r="L904" s="19" t="s">
        <v>12</v>
      </c>
      <c r="M904" s="19"/>
      <c r="N904" s="19"/>
      <c r="O904" s="20"/>
      <c r="P904" s="20"/>
    </row>
    <row r="905" customFormat="false" ht="14.25" hidden="false" customHeight="true" outlineLevel="0" collapsed="false">
      <c r="A905" s="3" t="s">
        <v>1259</v>
      </c>
      <c r="B905" s="3" t="s">
        <v>1260</v>
      </c>
      <c r="C905" s="3" t="n">
        <v>223576</v>
      </c>
      <c r="D905" s="3" t="s">
        <v>1264</v>
      </c>
      <c r="E905" s="18" t="n">
        <v>45379</v>
      </c>
      <c r="F905" s="3" t="s">
        <v>1262</v>
      </c>
      <c r="G905" s="3" t="s">
        <v>5</v>
      </c>
      <c r="H905" s="19"/>
      <c r="I905" s="19"/>
      <c r="J905" s="20"/>
      <c r="K905" s="20"/>
      <c r="L905" s="19"/>
      <c r="M905" s="19"/>
      <c r="N905" s="19"/>
      <c r="O905" s="20"/>
      <c r="P905" s="20"/>
    </row>
    <row r="906" customFormat="false" ht="14.25" hidden="false" customHeight="true" outlineLevel="0" collapsed="false">
      <c r="A906" s="3" t="s">
        <v>1259</v>
      </c>
      <c r="B906" s="3" t="s">
        <v>1260</v>
      </c>
      <c r="C906" s="3" t="n">
        <v>223576</v>
      </c>
      <c r="D906" s="3" t="s">
        <v>1266</v>
      </c>
      <c r="E906" s="18" t="n">
        <v>45385</v>
      </c>
      <c r="F906" s="3" t="s">
        <v>1262</v>
      </c>
      <c r="G906" s="3" t="s">
        <v>5</v>
      </c>
      <c r="H906" s="19"/>
      <c r="I906" s="19"/>
      <c r="J906" s="20"/>
      <c r="K906" s="20"/>
      <c r="L906" s="19"/>
      <c r="M906" s="19"/>
      <c r="N906" s="19"/>
      <c r="O906" s="20"/>
      <c r="P906" s="20"/>
    </row>
    <row r="907" customFormat="false" ht="14.25" hidden="false" customHeight="true" outlineLevel="0" collapsed="false">
      <c r="A907" s="3" t="s">
        <v>1259</v>
      </c>
      <c r="B907" s="3" t="s">
        <v>1260</v>
      </c>
      <c r="C907" s="3" t="n">
        <v>223576</v>
      </c>
      <c r="D907" s="3" t="s">
        <v>1269</v>
      </c>
      <c r="E907" s="18" t="n">
        <v>45393</v>
      </c>
      <c r="F907" s="3" t="s">
        <v>1262</v>
      </c>
      <c r="G907" s="3" t="s">
        <v>5</v>
      </c>
      <c r="H907" s="19"/>
      <c r="I907" s="19"/>
      <c r="J907" s="20"/>
      <c r="K907" s="20"/>
      <c r="L907" s="19"/>
      <c r="M907" s="19"/>
      <c r="N907" s="19"/>
      <c r="O907" s="20"/>
      <c r="P907" s="20"/>
    </row>
    <row r="908" customFormat="false" ht="14.25" hidden="false" customHeight="true" outlineLevel="0" collapsed="false">
      <c r="A908" s="3" t="s">
        <v>1259</v>
      </c>
      <c r="B908" s="3" t="s">
        <v>1260</v>
      </c>
      <c r="C908" s="3" t="n">
        <v>223576</v>
      </c>
      <c r="D908" s="3" t="s">
        <v>1271</v>
      </c>
      <c r="E908" s="18" t="n">
        <v>45399</v>
      </c>
      <c r="F908" s="3" t="s">
        <v>1262</v>
      </c>
      <c r="G908" s="3" t="s">
        <v>5</v>
      </c>
      <c r="H908" s="19"/>
      <c r="I908" s="19"/>
      <c r="J908" s="20"/>
      <c r="K908" s="20"/>
      <c r="L908" s="19"/>
      <c r="M908" s="19"/>
      <c r="N908" s="19"/>
      <c r="O908" s="20"/>
      <c r="P908" s="20"/>
    </row>
    <row r="909" customFormat="false" ht="14.25" hidden="false" customHeight="true" outlineLevel="0" collapsed="false">
      <c r="A909" s="3" t="s">
        <v>1259</v>
      </c>
      <c r="B909" s="3" t="s">
        <v>1260</v>
      </c>
      <c r="C909" s="3" t="n">
        <v>223576</v>
      </c>
      <c r="D909" s="3" t="s">
        <v>1272</v>
      </c>
      <c r="E909" s="18" t="n">
        <v>45401</v>
      </c>
      <c r="F909" s="3" t="s">
        <v>1262</v>
      </c>
      <c r="G909" s="3" t="s">
        <v>5</v>
      </c>
      <c r="H909" s="19"/>
      <c r="I909" s="19"/>
      <c r="J909" s="20"/>
      <c r="K909" s="20"/>
      <c r="L909" s="19"/>
      <c r="M909" s="19"/>
      <c r="N909" s="19"/>
      <c r="O909" s="20"/>
      <c r="P909" s="20"/>
    </row>
    <row r="910" customFormat="false" ht="14.25" hidden="false" customHeight="true" outlineLevel="0" collapsed="false">
      <c r="A910" s="3" t="s">
        <v>1259</v>
      </c>
      <c r="B910" s="3" t="s">
        <v>1260</v>
      </c>
      <c r="C910" s="3" t="n">
        <v>223576</v>
      </c>
      <c r="D910" s="3" t="s">
        <v>1276</v>
      </c>
      <c r="E910" s="18" t="n">
        <v>45421</v>
      </c>
      <c r="F910" s="3" t="s">
        <v>1262</v>
      </c>
      <c r="G910" s="3" t="s">
        <v>5</v>
      </c>
      <c r="H910" s="19"/>
      <c r="I910" s="19"/>
      <c r="J910" s="20"/>
      <c r="K910" s="20"/>
      <c r="L910" s="19"/>
      <c r="M910" s="19"/>
      <c r="N910" s="19"/>
      <c r="O910" s="20"/>
      <c r="P910" s="20"/>
    </row>
    <row r="911" customFormat="false" ht="14.25" hidden="false" customHeight="true" outlineLevel="0" collapsed="false">
      <c r="A911" s="3" t="s">
        <v>1259</v>
      </c>
      <c r="B911" s="3" t="s">
        <v>1260</v>
      </c>
      <c r="C911" s="3" t="n">
        <v>223576</v>
      </c>
      <c r="D911" s="3" t="s">
        <v>1265</v>
      </c>
      <c r="F911" s="3" t="s">
        <v>1262</v>
      </c>
      <c r="G911" s="3" t="s">
        <v>5</v>
      </c>
      <c r="H911" s="19"/>
      <c r="I911" s="19"/>
      <c r="J911" s="20"/>
      <c r="K911" s="20"/>
      <c r="L911" s="19"/>
      <c r="M911" s="19"/>
      <c r="N911" s="19"/>
      <c r="O911" s="20"/>
      <c r="P911" s="20"/>
    </row>
    <row r="912" customFormat="false" ht="14.25" hidden="false" customHeight="true" outlineLevel="0" collapsed="false">
      <c r="A912" s="3" t="s">
        <v>1259</v>
      </c>
      <c r="B912" s="3" t="s">
        <v>1260</v>
      </c>
      <c r="C912" s="3" t="n">
        <v>224005</v>
      </c>
      <c r="D912" s="3" t="s">
        <v>1261</v>
      </c>
      <c r="E912" s="18" t="n">
        <v>45035</v>
      </c>
      <c r="F912" s="3" t="s">
        <v>1262</v>
      </c>
      <c r="G912" s="3" t="s">
        <v>5</v>
      </c>
      <c r="H912" s="19" t="n">
        <v>45035</v>
      </c>
      <c r="I912" s="19" t="n">
        <v>44796</v>
      </c>
      <c r="J912" s="20" t="n">
        <v>69</v>
      </c>
      <c r="K912" s="20" t="s">
        <v>1263</v>
      </c>
      <c r="L912" s="19" t="s">
        <v>12</v>
      </c>
      <c r="M912" s="19"/>
      <c r="N912" s="19"/>
      <c r="O912" s="20"/>
      <c r="P912" s="20"/>
    </row>
    <row r="913" customFormat="false" ht="14.25" hidden="false" customHeight="true" outlineLevel="0" collapsed="false">
      <c r="A913" s="3" t="s">
        <v>1259</v>
      </c>
      <c r="B913" s="3" t="s">
        <v>1260</v>
      </c>
      <c r="C913" s="3" t="n">
        <v>224005</v>
      </c>
      <c r="D913" s="3" t="s">
        <v>1264</v>
      </c>
      <c r="E913" s="18" t="n">
        <v>45049</v>
      </c>
      <c r="F913" s="3" t="s">
        <v>1262</v>
      </c>
      <c r="G913" s="3" t="s">
        <v>5</v>
      </c>
      <c r="H913" s="19"/>
      <c r="I913" s="19"/>
      <c r="J913" s="20"/>
      <c r="K913" s="20"/>
      <c r="L913" s="19"/>
      <c r="M913" s="19"/>
      <c r="N913" s="19"/>
      <c r="O913" s="20"/>
      <c r="P913" s="20"/>
    </row>
    <row r="914" customFormat="false" ht="14.25" hidden="false" customHeight="true" outlineLevel="0" collapsed="false">
      <c r="A914" s="3" t="s">
        <v>1259</v>
      </c>
      <c r="B914" s="3" t="s">
        <v>1260</v>
      </c>
      <c r="C914" s="3" t="n">
        <v>224005</v>
      </c>
      <c r="D914" s="3" t="s">
        <v>1269</v>
      </c>
      <c r="E914" s="18" t="n">
        <v>45063</v>
      </c>
      <c r="F914" s="3" t="s">
        <v>1262</v>
      </c>
      <c r="G914" s="3" t="s">
        <v>5</v>
      </c>
      <c r="H914" s="19"/>
      <c r="I914" s="19"/>
      <c r="J914" s="20"/>
      <c r="K914" s="20"/>
      <c r="L914" s="19"/>
      <c r="M914" s="19"/>
      <c r="N914" s="19"/>
      <c r="O914" s="20"/>
      <c r="P914" s="20"/>
    </row>
    <row r="915" customFormat="false" ht="14.25" hidden="false" customHeight="true" outlineLevel="0" collapsed="false">
      <c r="A915" s="3" t="s">
        <v>1259</v>
      </c>
      <c r="B915" s="3" t="s">
        <v>1260</v>
      </c>
      <c r="C915" s="3" t="n">
        <v>224005</v>
      </c>
      <c r="D915" s="3" t="s">
        <v>1271</v>
      </c>
      <c r="E915" s="18" t="n">
        <v>45077</v>
      </c>
      <c r="F915" s="3" t="s">
        <v>1262</v>
      </c>
      <c r="G915" s="3" t="s">
        <v>5</v>
      </c>
      <c r="H915" s="19"/>
      <c r="I915" s="19"/>
      <c r="J915" s="20"/>
      <c r="K915" s="20"/>
      <c r="L915" s="19"/>
      <c r="M915" s="19"/>
      <c r="N915" s="19"/>
      <c r="O915" s="20"/>
      <c r="P915" s="20"/>
    </row>
    <row r="916" customFormat="false" ht="14.25" hidden="false" customHeight="true" outlineLevel="0" collapsed="false">
      <c r="A916" s="3" t="s">
        <v>1259</v>
      </c>
      <c r="B916" s="3" t="s">
        <v>1260</v>
      </c>
      <c r="C916" s="3" t="n">
        <v>224005</v>
      </c>
      <c r="D916" s="3" t="s">
        <v>1394</v>
      </c>
      <c r="E916" s="18" t="n">
        <v>45089</v>
      </c>
      <c r="F916" s="3" t="s">
        <v>1262</v>
      </c>
      <c r="G916" s="3" t="s">
        <v>1275</v>
      </c>
      <c r="H916" s="19"/>
      <c r="I916" s="19"/>
      <c r="J916" s="20"/>
      <c r="K916" s="20"/>
      <c r="L916" s="19"/>
      <c r="M916" s="19"/>
      <c r="N916" s="19"/>
      <c r="O916" s="20"/>
      <c r="P916" s="20"/>
    </row>
    <row r="917" customFormat="false" ht="14.25" hidden="false" customHeight="true" outlineLevel="0" collapsed="false">
      <c r="A917" s="3" t="s">
        <v>1259</v>
      </c>
      <c r="B917" s="3" t="s">
        <v>1260</v>
      </c>
      <c r="C917" s="3" t="n">
        <v>224005</v>
      </c>
      <c r="D917" s="3" t="s">
        <v>1273</v>
      </c>
      <c r="E917" s="18" t="n">
        <v>45091</v>
      </c>
      <c r="F917" s="3" t="s">
        <v>1262</v>
      </c>
      <c r="G917" s="3" t="s">
        <v>5</v>
      </c>
      <c r="H917" s="19"/>
      <c r="I917" s="19"/>
      <c r="J917" s="20"/>
      <c r="K917" s="20"/>
      <c r="L917" s="19"/>
      <c r="M917" s="19"/>
      <c r="N917" s="19"/>
      <c r="O917" s="20"/>
      <c r="P917" s="20"/>
    </row>
    <row r="918" customFormat="false" ht="14.25" hidden="false" customHeight="true" outlineLevel="0" collapsed="false">
      <c r="A918" s="3" t="s">
        <v>1259</v>
      </c>
      <c r="B918" s="3" t="s">
        <v>1260</v>
      </c>
      <c r="C918" s="3" t="n">
        <v>224005</v>
      </c>
      <c r="D918" s="3" t="s">
        <v>1276</v>
      </c>
      <c r="E918" s="18" t="n">
        <v>45105</v>
      </c>
      <c r="F918" s="3" t="s">
        <v>1262</v>
      </c>
      <c r="G918" s="3" t="s">
        <v>5</v>
      </c>
      <c r="H918" s="19"/>
      <c r="I918" s="19"/>
      <c r="J918" s="20"/>
      <c r="K918" s="20"/>
      <c r="L918" s="19"/>
      <c r="M918" s="19"/>
      <c r="N918" s="19"/>
      <c r="O918" s="20"/>
      <c r="P918" s="20"/>
    </row>
    <row r="919" customFormat="false" ht="14.25" hidden="false" customHeight="true" outlineLevel="0" collapsed="false">
      <c r="A919" s="3" t="s">
        <v>1259</v>
      </c>
      <c r="B919" s="3" t="s">
        <v>1260</v>
      </c>
      <c r="C919" s="3" t="n">
        <v>224005</v>
      </c>
      <c r="D919" s="3" t="s">
        <v>1277</v>
      </c>
      <c r="E919" s="18" t="n">
        <v>45119</v>
      </c>
      <c r="F919" s="3" t="s">
        <v>1262</v>
      </c>
      <c r="G919" s="3" t="s">
        <v>5</v>
      </c>
      <c r="H919" s="19"/>
      <c r="I919" s="19"/>
      <c r="J919" s="20"/>
      <c r="K919" s="20"/>
      <c r="L919" s="19"/>
      <c r="M919" s="19"/>
      <c r="N919" s="19"/>
      <c r="O919" s="20"/>
      <c r="P919" s="20"/>
    </row>
    <row r="920" customFormat="false" ht="14.25" hidden="false" customHeight="true" outlineLevel="0" collapsed="false">
      <c r="A920" s="3" t="s">
        <v>1259</v>
      </c>
      <c r="B920" s="3" t="s">
        <v>1260</v>
      </c>
      <c r="C920" s="3" t="n">
        <v>224005</v>
      </c>
      <c r="D920" s="3" t="s">
        <v>1463</v>
      </c>
      <c r="E920" s="18" t="n">
        <v>45128</v>
      </c>
      <c r="F920" s="3" t="s">
        <v>1262</v>
      </c>
      <c r="G920" s="3" t="s">
        <v>1275</v>
      </c>
      <c r="H920" s="19"/>
      <c r="I920" s="19"/>
      <c r="J920" s="20"/>
      <c r="K920" s="20"/>
      <c r="L920" s="19"/>
      <c r="M920" s="19"/>
      <c r="N920" s="19"/>
      <c r="O920" s="20"/>
      <c r="P920" s="20"/>
    </row>
    <row r="921" customFormat="false" ht="14.25" hidden="false" customHeight="true" outlineLevel="0" collapsed="false">
      <c r="A921" s="3" t="s">
        <v>1259</v>
      </c>
      <c r="B921" s="3" t="s">
        <v>1260</v>
      </c>
      <c r="C921" s="3" t="n">
        <v>224005</v>
      </c>
      <c r="D921" s="3" t="s">
        <v>1278</v>
      </c>
      <c r="E921" s="18" t="n">
        <v>45133</v>
      </c>
      <c r="F921" s="3" t="s">
        <v>1262</v>
      </c>
      <c r="G921" s="3" t="s">
        <v>5</v>
      </c>
      <c r="H921" s="19"/>
      <c r="I921" s="19"/>
      <c r="J921" s="20"/>
      <c r="K921" s="20"/>
      <c r="L921" s="19"/>
      <c r="M921" s="19"/>
      <c r="N921" s="19"/>
      <c r="O921" s="20"/>
      <c r="P921" s="20"/>
    </row>
    <row r="922" customFormat="false" ht="14.25" hidden="false" customHeight="true" outlineLevel="0" collapsed="false">
      <c r="A922" s="3" t="s">
        <v>1259</v>
      </c>
      <c r="B922" s="3" t="s">
        <v>1260</v>
      </c>
      <c r="C922" s="3" t="n">
        <v>224005</v>
      </c>
      <c r="D922" s="3" t="s">
        <v>1464</v>
      </c>
      <c r="E922" s="18" t="n">
        <v>45148</v>
      </c>
      <c r="F922" s="3" t="s">
        <v>1262</v>
      </c>
      <c r="G922" s="3" t="s">
        <v>1268</v>
      </c>
      <c r="H922" s="19"/>
      <c r="I922" s="19"/>
      <c r="J922" s="20"/>
      <c r="K922" s="20"/>
      <c r="L922" s="19"/>
      <c r="M922" s="19"/>
      <c r="N922" s="19"/>
      <c r="O922" s="20"/>
      <c r="P922" s="20"/>
    </row>
    <row r="923" customFormat="false" ht="14.25" hidden="false" customHeight="true" outlineLevel="0" collapsed="false">
      <c r="A923" s="3" t="s">
        <v>1259</v>
      </c>
      <c r="B923" s="3" t="s">
        <v>1260</v>
      </c>
      <c r="C923" s="3" t="n">
        <v>224005</v>
      </c>
      <c r="D923" s="3" t="s">
        <v>1465</v>
      </c>
      <c r="E923" s="18" t="n">
        <v>45152</v>
      </c>
      <c r="F923" s="3" t="s">
        <v>1262</v>
      </c>
      <c r="G923" s="3" t="s">
        <v>1268</v>
      </c>
      <c r="H923" s="19"/>
      <c r="I923" s="19"/>
      <c r="J923" s="20"/>
      <c r="K923" s="20"/>
      <c r="L923" s="19"/>
      <c r="M923" s="19"/>
      <c r="N923" s="19"/>
      <c r="O923" s="20"/>
      <c r="P923" s="20"/>
    </row>
    <row r="924" customFormat="false" ht="14.25" hidden="false" customHeight="true" outlineLevel="0" collapsed="false">
      <c r="A924" s="3" t="s">
        <v>1259</v>
      </c>
      <c r="B924" s="3" t="s">
        <v>1260</v>
      </c>
      <c r="C924" s="3" t="n">
        <v>224005</v>
      </c>
      <c r="D924" s="3" t="s">
        <v>1281</v>
      </c>
      <c r="E924" s="18" t="n">
        <v>45161</v>
      </c>
      <c r="F924" s="3" t="s">
        <v>1262</v>
      </c>
      <c r="G924" s="3" t="s">
        <v>5</v>
      </c>
      <c r="H924" s="19"/>
      <c r="I924" s="19"/>
      <c r="J924" s="20"/>
      <c r="K924" s="20"/>
      <c r="L924" s="19"/>
      <c r="M924" s="19"/>
      <c r="N924" s="19"/>
      <c r="O924" s="20"/>
      <c r="P924" s="20"/>
    </row>
    <row r="925" customFormat="false" ht="14.25" hidden="false" customHeight="true" outlineLevel="0" collapsed="false">
      <c r="A925" s="3" t="s">
        <v>1259</v>
      </c>
      <c r="B925" s="3" t="s">
        <v>1260</v>
      </c>
      <c r="C925" s="3" t="n">
        <v>224005</v>
      </c>
      <c r="D925" s="3" t="s">
        <v>1466</v>
      </c>
      <c r="E925" s="18" t="n">
        <v>45168</v>
      </c>
      <c r="F925" s="3" t="s">
        <v>1262</v>
      </c>
      <c r="G925" s="3" t="s">
        <v>1275</v>
      </c>
      <c r="H925" s="19"/>
      <c r="I925" s="19"/>
      <c r="J925" s="20"/>
      <c r="K925" s="20"/>
      <c r="L925" s="19"/>
      <c r="M925" s="19"/>
      <c r="N925" s="19"/>
      <c r="O925" s="20"/>
      <c r="P925" s="20"/>
    </row>
    <row r="926" customFormat="false" ht="14.25" hidden="false" customHeight="true" outlineLevel="0" collapsed="false">
      <c r="A926" s="3" t="s">
        <v>1259</v>
      </c>
      <c r="B926" s="3" t="s">
        <v>1260</v>
      </c>
      <c r="C926" s="3" t="n">
        <v>224005</v>
      </c>
      <c r="D926" s="3" t="s">
        <v>1282</v>
      </c>
      <c r="E926" s="18" t="n">
        <v>45175</v>
      </c>
      <c r="F926" s="3" t="s">
        <v>1262</v>
      </c>
      <c r="G926" s="3" t="s">
        <v>5</v>
      </c>
      <c r="H926" s="19"/>
      <c r="I926" s="19"/>
      <c r="J926" s="20"/>
      <c r="K926" s="20"/>
      <c r="L926" s="19"/>
      <c r="M926" s="19"/>
      <c r="N926" s="19"/>
      <c r="O926" s="20"/>
      <c r="P926" s="20"/>
    </row>
    <row r="927" customFormat="false" ht="14.25" hidden="false" customHeight="true" outlineLevel="0" collapsed="false">
      <c r="A927" s="3" t="s">
        <v>1259</v>
      </c>
      <c r="B927" s="3" t="s">
        <v>1260</v>
      </c>
      <c r="C927" s="3" t="n">
        <v>224005</v>
      </c>
      <c r="D927" s="3" t="s">
        <v>1283</v>
      </c>
      <c r="E927" s="18" t="n">
        <v>45189</v>
      </c>
      <c r="F927" s="3" t="s">
        <v>1262</v>
      </c>
      <c r="G927" s="3" t="s">
        <v>5</v>
      </c>
      <c r="H927" s="19"/>
      <c r="I927" s="19"/>
      <c r="J927" s="20"/>
      <c r="K927" s="20"/>
      <c r="L927" s="19"/>
      <c r="M927" s="19"/>
      <c r="N927" s="19"/>
      <c r="O927" s="20"/>
      <c r="P927" s="20"/>
    </row>
    <row r="928" customFormat="false" ht="14.25" hidden="false" customHeight="true" outlineLevel="0" collapsed="false">
      <c r="A928" s="3" t="s">
        <v>1259</v>
      </c>
      <c r="B928" s="3" t="s">
        <v>1260</v>
      </c>
      <c r="C928" s="3" t="n">
        <v>224005</v>
      </c>
      <c r="D928" s="3" t="s">
        <v>1284</v>
      </c>
      <c r="E928" s="18" t="n">
        <v>45204</v>
      </c>
      <c r="F928" s="3" t="s">
        <v>1262</v>
      </c>
      <c r="G928" s="3" t="s">
        <v>5</v>
      </c>
      <c r="H928" s="19"/>
      <c r="I928" s="19"/>
      <c r="J928" s="20"/>
      <c r="K928" s="20"/>
      <c r="L928" s="19"/>
      <c r="M928" s="19"/>
      <c r="N928" s="19"/>
      <c r="O928" s="20"/>
      <c r="P928" s="20"/>
    </row>
    <row r="929" customFormat="false" ht="14.25" hidden="false" customHeight="true" outlineLevel="0" collapsed="false">
      <c r="A929" s="3" t="s">
        <v>1259</v>
      </c>
      <c r="B929" s="3" t="s">
        <v>1260</v>
      </c>
      <c r="C929" s="3" t="n">
        <v>224005</v>
      </c>
      <c r="D929" s="3" t="s">
        <v>1467</v>
      </c>
      <c r="E929" s="18" t="n">
        <v>45211</v>
      </c>
      <c r="F929" s="3" t="s">
        <v>1262</v>
      </c>
      <c r="G929" s="3" t="s">
        <v>1275</v>
      </c>
      <c r="H929" s="19"/>
      <c r="I929" s="19"/>
      <c r="J929" s="20"/>
      <c r="K929" s="20"/>
      <c r="L929" s="19"/>
      <c r="M929" s="19"/>
      <c r="N929" s="19"/>
      <c r="O929" s="20"/>
      <c r="P929" s="20"/>
    </row>
    <row r="930" customFormat="false" ht="14.25" hidden="false" customHeight="true" outlineLevel="0" collapsed="false">
      <c r="A930" s="3" t="s">
        <v>1259</v>
      </c>
      <c r="B930" s="3" t="s">
        <v>1260</v>
      </c>
      <c r="C930" s="3" t="n">
        <v>224005</v>
      </c>
      <c r="D930" s="3" t="s">
        <v>1286</v>
      </c>
      <c r="E930" s="18" t="n">
        <v>45216</v>
      </c>
      <c r="F930" s="3" t="s">
        <v>1262</v>
      </c>
      <c r="G930" s="3" t="s">
        <v>5</v>
      </c>
      <c r="H930" s="19"/>
      <c r="I930" s="19"/>
      <c r="J930" s="20"/>
      <c r="K930" s="20"/>
      <c r="L930" s="19"/>
      <c r="M930" s="19"/>
      <c r="N930" s="19"/>
      <c r="O930" s="20"/>
      <c r="P930" s="20"/>
    </row>
    <row r="931" customFormat="false" ht="14.25" hidden="false" customHeight="true" outlineLevel="0" collapsed="false">
      <c r="A931" s="3" t="s">
        <v>1259</v>
      </c>
      <c r="B931" s="3" t="s">
        <v>1260</v>
      </c>
      <c r="C931" s="3" t="n">
        <v>224005</v>
      </c>
      <c r="D931" s="3" t="s">
        <v>1287</v>
      </c>
      <c r="E931" s="18" t="n">
        <v>45231</v>
      </c>
      <c r="F931" s="3" t="s">
        <v>1262</v>
      </c>
      <c r="G931" s="3" t="s">
        <v>5</v>
      </c>
      <c r="H931" s="19"/>
      <c r="I931" s="19"/>
      <c r="J931" s="20"/>
      <c r="K931" s="20"/>
      <c r="L931" s="19"/>
      <c r="M931" s="19"/>
      <c r="N931" s="19"/>
      <c r="O931" s="20"/>
      <c r="P931" s="20"/>
    </row>
    <row r="932" customFormat="false" ht="14.25" hidden="false" customHeight="true" outlineLevel="0" collapsed="false">
      <c r="A932" s="3" t="s">
        <v>1259</v>
      </c>
      <c r="B932" s="3" t="s">
        <v>1260</v>
      </c>
      <c r="C932" s="3" t="n">
        <v>224005</v>
      </c>
      <c r="D932" s="3" t="s">
        <v>1288</v>
      </c>
      <c r="E932" s="18" t="n">
        <v>45244</v>
      </c>
      <c r="F932" s="3" t="s">
        <v>1262</v>
      </c>
      <c r="G932" s="3" t="s">
        <v>5</v>
      </c>
      <c r="H932" s="19"/>
      <c r="I932" s="19"/>
      <c r="J932" s="20"/>
      <c r="K932" s="20"/>
      <c r="L932" s="19"/>
      <c r="M932" s="19"/>
      <c r="N932" s="19"/>
      <c r="O932" s="20"/>
      <c r="P932" s="20"/>
    </row>
    <row r="933" customFormat="false" ht="14.25" hidden="false" customHeight="true" outlineLevel="0" collapsed="false">
      <c r="A933" s="3" t="s">
        <v>1259</v>
      </c>
      <c r="B933" s="3" t="s">
        <v>1260</v>
      </c>
      <c r="C933" s="3" t="n">
        <v>224005</v>
      </c>
      <c r="D933" s="3" t="s">
        <v>1289</v>
      </c>
      <c r="E933" s="18" t="n">
        <v>45258</v>
      </c>
      <c r="F933" s="3" t="s">
        <v>1262</v>
      </c>
      <c r="G933" s="3" t="s">
        <v>5</v>
      </c>
      <c r="H933" s="19"/>
      <c r="I933" s="19"/>
      <c r="J933" s="20"/>
      <c r="K933" s="20"/>
      <c r="L933" s="19"/>
      <c r="M933" s="19"/>
      <c r="N933" s="19"/>
      <c r="O933" s="20"/>
      <c r="P933" s="20"/>
    </row>
    <row r="934" customFormat="false" ht="14.25" hidden="false" customHeight="true" outlineLevel="0" collapsed="false">
      <c r="A934" s="3" t="s">
        <v>1259</v>
      </c>
      <c r="B934" s="3" t="s">
        <v>1260</v>
      </c>
      <c r="C934" s="3" t="n">
        <v>224005</v>
      </c>
      <c r="D934" s="3" t="s">
        <v>1296</v>
      </c>
      <c r="E934" s="18" t="n">
        <v>45258</v>
      </c>
      <c r="F934" s="3" t="s">
        <v>1262</v>
      </c>
      <c r="G934" s="3" t="s">
        <v>1275</v>
      </c>
      <c r="H934" s="19"/>
      <c r="I934" s="19"/>
      <c r="J934" s="20"/>
      <c r="K934" s="20"/>
      <c r="L934" s="19"/>
      <c r="M934" s="19"/>
      <c r="N934" s="19"/>
      <c r="O934" s="20"/>
      <c r="P934" s="20"/>
    </row>
    <row r="935" customFormat="false" ht="14.25" hidden="false" customHeight="true" outlineLevel="0" collapsed="false">
      <c r="A935" s="3" t="s">
        <v>1259</v>
      </c>
      <c r="B935" s="3" t="s">
        <v>1260</v>
      </c>
      <c r="C935" s="3" t="n">
        <v>224005</v>
      </c>
      <c r="D935" s="3" t="s">
        <v>1290</v>
      </c>
      <c r="E935" s="18" t="n">
        <v>45273</v>
      </c>
      <c r="F935" s="3" t="s">
        <v>1262</v>
      </c>
      <c r="G935" s="3" t="s">
        <v>5</v>
      </c>
      <c r="H935" s="19"/>
      <c r="I935" s="19"/>
      <c r="J935" s="20"/>
      <c r="K935" s="20"/>
      <c r="L935" s="19"/>
      <c r="M935" s="19"/>
      <c r="N935" s="19"/>
      <c r="O935" s="20"/>
      <c r="P935" s="20"/>
    </row>
    <row r="936" customFormat="false" ht="14.25" hidden="false" customHeight="true" outlineLevel="0" collapsed="false">
      <c r="A936" s="3" t="s">
        <v>1259</v>
      </c>
      <c r="B936" s="3" t="s">
        <v>1260</v>
      </c>
      <c r="C936" s="3" t="n">
        <v>224005</v>
      </c>
      <c r="D936" s="3" t="s">
        <v>1292</v>
      </c>
      <c r="E936" s="18" t="n">
        <v>45287</v>
      </c>
      <c r="F936" s="3" t="s">
        <v>1262</v>
      </c>
      <c r="G936" s="3" t="s">
        <v>5</v>
      </c>
      <c r="H936" s="19"/>
      <c r="I936" s="19"/>
      <c r="J936" s="20"/>
      <c r="K936" s="20"/>
      <c r="L936" s="19"/>
      <c r="M936" s="19"/>
      <c r="N936" s="19"/>
      <c r="O936" s="20"/>
      <c r="P936" s="20"/>
    </row>
    <row r="937" customFormat="false" ht="14.25" hidden="false" customHeight="true" outlineLevel="0" collapsed="false">
      <c r="A937" s="3" t="s">
        <v>1259</v>
      </c>
      <c r="B937" s="3" t="s">
        <v>1260</v>
      </c>
      <c r="C937" s="3" t="n">
        <v>224005</v>
      </c>
      <c r="D937" s="3" t="s">
        <v>1293</v>
      </c>
      <c r="E937" s="18" t="n">
        <v>45301</v>
      </c>
      <c r="F937" s="3" t="s">
        <v>1262</v>
      </c>
      <c r="G937" s="3" t="s">
        <v>5</v>
      </c>
      <c r="H937" s="19"/>
      <c r="I937" s="19"/>
      <c r="J937" s="20"/>
      <c r="K937" s="20"/>
      <c r="L937" s="19"/>
      <c r="M937" s="19"/>
      <c r="N937" s="19"/>
      <c r="O937" s="20"/>
      <c r="P937" s="20"/>
    </row>
    <row r="938" customFormat="false" ht="14.25" hidden="false" customHeight="true" outlineLevel="0" collapsed="false">
      <c r="A938" s="3" t="s">
        <v>1259</v>
      </c>
      <c r="B938" s="3" t="s">
        <v>1260</v>
      </c>
      <c r="C938" s="3" t="n">
        <v>224005</v>
      </c>
      <c r="D938" s="3" t="s">
        <v>1468</v>
      </c>
      <c r="E938" s="18" t="n">
        <v>45301</v>
      </c>
      <c r="F938" s="3" t="s">
        <v>1262</v>
      </c>
      <c r="G938" s="3" t="s">
        <v>1275</v>
      </c>
      <c r="H938" s="19"/>
      <c r="I938" s="19"/>
      <c r="J938" s="20"/>
      <c r="K938" s="20"/>
      <c r="L938" s="19"/>
      <c r="M938" s="19"/>
      <c r="N938" s="19"/>
      <c r="O938" s="20"/>
      <c r="P938" s="20"/>
    </row>
    <row r="939" customFormat="false" ht="14.25" hidden="false" customHeight="true" outlineLevel="0" collapsed="false">
      <c r="A939" s="3" t="s">
        <v>1259</v>
      </c>
      <c r="B939" s="3" t="s">
        <v>1260</v>
      </c>
      <c r="C939" s="3" t="n">
        <v>224005</v>
      </c>
      <c r="D939" s="3" t="s">
        <v>1294</v>
      </c>
      <c r="E939" s="18" t="n">
        <v>45315</v>
      </c>
      <c r="F939" s="3" t="s">
        <v>1262</v>
      </c>
      <c r="G939" s="3" t="s">
        <v>5</v>
      </c>
      <c r="H939" s="19"/>
      <c r="I939" s="19"/>
      <c r="J939" s="20"/>
      <c r="K939" s="20"/>
      <c r="L939" s="19"/>
      <c r="M939" s="19"/>
      <c r="N939" s="19"/>
      <c r="O939" s="20"/>
      <c r="P939" s="20"/>
    </row>
    <row r="940" customFormat="false" ht="14.25" hidden="false" customHeight="true" outlineLevel="0" collapsed="false">
      <c r="A940" s="3" t="s">
        <v>1259</v>
      </c>
      <c r="B940" s="3" t="s">
        <v>1260</v>
      </c>
      <c r="C940" s="3" t="n">
        <v>224005</v>
      </c>
      <c r="D940" s="3" t="s">
        <v>1295</v>
      </c>
      <c r="E940" s="18" t="n">
        <v>45329</v>
      </c>
      <c r="F940" s="3" t="s">
        <v>1262</v>
      </c>
      <c r="G940" s="3" t="s">
        <v>5</v>
      </c>
      <c r="H940" s="19"/>
      <c r="I940" s="19"/>
      <c r="J940" s="20"/>
      <c r="K940" s="20"/>
      <c r="L940" s="19"/>
      <c r="M940" s="19"/>
      <c r="N940" s="19"/>
      <c r="O940" s="20"/>
      <c r="P940" s="20"/>
    </row>
    <row r="941" customFormat="false" ht="14.25" hidden="false" customHeight="true" outlineLevel="0" collapsed="false">
      <c r="A941" s="3" t="s">
        <v>1259</v>
      </c>
      <c r="B941" s="3" t="s">
        <v>1260</v>
      </c>
      <c r="C941" s="3" t="n">
        <v>224005</v>
      </c>
      <c r="D941" s="3" t="s">
        <v>1297</v>
      </c>
      <c r="E941" s="18" t="n">
        <v>45343</v>
      </c>
      <c r="F941" s="3" t="s">
        <v>1262</v>
      </c>
      <c r="G941" s="3" t="s">
        <v>5</v>
      </c>
      <c r="H941" s="19"/>
      <c r="I941" s="19"/>
      <c r="J941" s="20"/>
      <c r="K941" s="20"/>
      <c r="L941" s="19"/>
      <c r="M941" s="19"/>
      <c r="N941" s="19"/>
      <c r="O941" s="20"/>
      <c r="P941" s="20"/>
    </row>
    <row r="942" customFormat="false" ht="14.25" hidden="false" customHeight="true" outlineLevel="0" collapsed="false">
      <c r="A942" s="3" t="s">
        <v>1259</v>
      </c>
      <c r="B942" s="3" t="s">
        <v>1260</v>
      </c>
      <c r="C942" s="3" t="n">
        <v>224005</v>
      </c>
      <c r="D942" s="3" t="s">
        <v>1449</v>
      </c>
      <c r="E942" s="18" t="n">
        <v>45343</v>
      </c>
      <c r="F942" s="3" t="s">
        <v>1262</v>
      </c>
      <c r="G942" s="3" t="s">
        <v>1275</v>
      </c>
      <c r="H942" s="19"/>
      <c r="I942" s="19"/>
      <c r="J942" s="20"/>
      <c r="K942" s="20"/>
      <c r="L942" s="19"/>
      <c r="M942" s="19"/>
      <c r="N942" s="19"/>
      <c r="O942" s="20"/>
      <c r="P942" s="20"/>
    </row>
    <row r="943" customFormat="false" ht="14.25" hidden="false" customHeight="true" outlineLevel="0" collapsed="false">
      <c r="A943" s="3" t="s">
        <v>1259</v>
      </c>
      <c r="B943" s="3" t="s">
        <v>1260</v>
      </c>
      <c r="C943" s="3" t="n">
        <v>224005</v>
      </c>
      <c r="D943" s="3" t="s">
        <v>1298</v>
      </c>
      <c r="E943" s="18" t="n">
        <v>45357</v>
      </c>
      <c r="F943" s="3" t="s">
        <v>1262</v>
      </c>
      <c r="G943" s="3" t="s">
        <v>5</v>
      </c>
      <c r="H943" s="19"/>
      <c r="I943" s="19"/>
      <c r="J943" s="20"/>
      <c r="K943" s="20"/>
      <c r="L943" s="19"/>
      <c r="M943" s="19"/>
      <c r="N943" s="19"/>
      <c r="O943" s="20"/>
      <c r="P943" s="20"/>
    </row>
    <row r="944" customFormat="false" ht="14.25" hidden="false" customHeight="true" outlineLevel="0" collapsed="false">
      <c r="A944" s="3" t="s">
        <v>1259</v>
      </c>
      <c r="B944" s="3" t="s">
        <v>1260</v>
      </c>
      <c r="C944" s="3" t="n">
        <v>224005</v>
      </c>
      <c r="D944" s="3" t="s">
        <v>1299</v>
      </c>
      <c r="E944" s="18" t="n">
        <v>45370</v>
      </c>
      <c r="F944" s="3" t="s">
        <v>1262</v>
      </c>
      <c r="G944" s="3" t="s">
        <v>5</v>
      </c>
      <c r="H944" s="19"/>
      <c r="I944" s="19"/>
      <c r="J944" s="20"/>
      <c r="K944" s="20"/>
      <c r="L944" s="19"/>
      <c r="M944" s="19"/>
      <c r="N944" s="19"/>
      <c r="O944" s="20"/>
      <c r="P944" s="20"/>
    </row>
    <row r="945" customFormat="false" ht="14.25" hidden="false" customHeight="true" outlineLevel="0" collapsed="false">
      <c r="A945" s="3" t="s">
        <v>1259</v>
      </c>
      <c r="B945" s="3" t="s">
        <v>1260</v>
      </c>
      <c r="C945" s="3" t="n">
        <v>224005</v>
      </c>
      <c r="D945" s="3" t="s">
        <v>1300</v>
      </c>
      <c r="E945" s="18" t="n">
        <v>45385</v>
      </c>
      <c r="F945" s="3" t="s">
        <v>1262</v>
      </c>
      <c r="G945" s="3" t="s">
        <v>5</v>
      </c>
      <c r="H945" s="19"/>
      <c r="I945" s="19"/>
      <c r="J945" s="20"/>
      <c r="K945" s="20"/>
      <c r="L945" s="19"/>
      <c r="M945" s="19"/>
      <c r="N945" s="19"/>
      <c r="O945" s="20"/>
      <c r="P945" s="20"/>
    </row>
    <row r="946" customFormat="false" ht="14.25" hidden="false" customHeight="true" outlineLevel="0" collapsed="false">
      <c r="A946" s="3" t="s">
        <v>1259</v>
      </c>
      <c r="B946" s="3" t="s">
        <v>1260</v>
      </c>
      <c r="C946" s="3" t="n">
        <v>224005</v>
      </c>
      <c r="D946" s="3" t="s">
        <v>1446</v>
      </c>
      <c r="E946" s="18" t="n">
        <v>45385</v>
      </c>
      <c r="F946" s="3" t="s">
        <v>1262</v>
      </c>
      <c r="G946" s="3" t="s">
        <v>1275</v>
      </c>
      <c r="H946" s="19"/>
      <c r="I946" s="19"/>
      <c r="J946" s="20"/>
      <c r="K946" s="20"/>
      <c r="L946" s="19"/>
      <c r="M946" s="19"/>
      <c r="N946" s="19"/>
      <c r="O946" s="20"/>
      <c r="P946" s="20"/>
    </row>
    <row r="947" customFormat="false" ht="14.25" hidden="false" customHeight="true" outlineLevel="0" collapsed="false">
      <c r="A947" s="3" t="s">
        <v>1259</v>
      </c>
      <c r="B947" s="3" t="s">
        <v>1260</v>
      </c>
      <c r="C947" s="3" t="n">
        <v>224005</v>
      </c>
      <c r="D947" s="3" t="s">
        <v>1302</v>
      </c>
      <c r="E947" s="18" t="n">
        <v>45399</v>
      </c>
      <c r="F947" s="3" t="s">
        <v>1262</v>
      </c>
      <c r="G947" s="3" t="s">
        <v>5</v>
      </c>
      <c r="H947" s="19"/>
      <c r="I947" s="19"/>
      <c r="J947" s="20"/>
      <c r="K947" s="20"/>
      <c r="L947" s="19"/>
      <c r="M947" s="19"/>
      <c r="N947" s="19"/>
      <c r="O947" s="20"/>
      <c r="P947" s="20"/>
    </row>
    <row r="948" customFormat="false" ht="14.25" hidden="false" customHeight="true" outlineLevel="0" collapsed="false">
      <c r="A948" s="3" t="s">
        <v>1259</v>
      </c>
      <c r="B948" s="3" t="s">
        <v>1260</v>
      </c>
      <c r="C948" s="3" t="n">
        <v>224005</v>
      </c>
      <c r="D948" s="3" t="s">
        <v>1303</v>
      </c>
      <c r="E948" s="18" t="n">
        <v>45412</v>
      </c>
      <c r="F948" s="3" t="s">
        <v>1262</v>
      </c>
      <c r="G948" s="3" t="s">
        <v>5</v>
      </c>
      <c r="H948" s="19"/>
      <c r="I948" s="19"/>
      <c r="J948" s="20"/>
      <c r="K948" s="20"/>
      <c r="L948" s="19"/>
      <c r="M948" s="19"/>
      <c r="N948" s="19"/>
      <c r="O948" s="20"/>
      <c r="P948" s="20"/>
    </row>
    <row r="949" customFormat="false" ht="14.25" hidden="false" customHeight="true" outlineLevel="0" collapsed="false">
      <c r="A949" s="3" t="s">
        <v>1259</v>
      </c>
      <c r="B949" s="3" t="s">
        <v>1260</v>
      </c>
      <c r="C949" s="3" t="n">
        <v>224005</v>
      </c>
      <c r="D949" s="3" t="s">
        <v>1304</v>
      </c>
      <c r="E949" s="18" t="n">
        <v>45426</v>
      </c>
      <c r="F949" s="3" t="s">
        <v>1262</v>
      </c>
      <c r="G949" s="3" t="s">
        <v>5</v>
      </c>
      <c r="H949" s="19"/>
      <c r="I949" s="19"/>
      <c r="J949" s="20"/>
      <c r="K949" s="20"/>
      <c r="L949" s="19"/>
      <c r="M949" s="19"/>
      <c r="N949" s="19"/>
      <c r="O949" s="20"/>
      <c r="P949" s="20"/>
    </row>
    <row r="950" customFormat="false" ht="14.25" hidden="false" customHeight="true" outlineLevel="0" collapsed="false">
      <c r="A950" s="3" t="s">
        <v>1259</v>
      </c>
      <c r="B950" s="3" t="s">
        <v>1260</v>
      </c>
      <c r="C950" s="3" t="n">
        <v>224005</v>
      </c>
      <c r="D950" s="3" t="s">
        <v>1311</v>
      </c>
      <c r="E950" s="18" t="n">
        <v>45426</v>
      </c>
      <c r="F950" s="3" t="s">
        <v>1262</v>
      </c>
      <c r="G950" s="3" t="s">
        <v>1275</v>
      </c>
      <c r="H950" s="19"/>
      <c r="I950" s="19"/>
      <c r="J950" s="20"/>
      <c r="K950" s="20"/>
      <c r="L950" s="19"/>
      <c r="M950" s="19"/>
      <c r="N950" s="19"/>
      <c r="O950" s="20"/>
      <c r="P950" s="20"/>
    </row>
    <row r="951" customFormat="false" ht="14.25" hidden="false" customHeight="true" outlineLevel="0" collapsed="false">
      <c r="A951" s="3" t="s">
        <v>1259</v>
      </c>
      <c r="B951" s="3" t="s">
        <v>1260</v>
      </c>
      <c r="C951" s="3" t="n">
        <v>224005</v>
      </c>
      <c r="D951" s="3" t="s">
        <v>1279</v>
      </c>
      <c r="F951" s="3" t="s">
        <v>1262</v>
      </c>
      <c r="G951" s="3" t="s">
        <v>5</v>
      </c>
      <c r="H951" s="19"/>
      <c r="I951" s="19"/>
      <c r="J951" s="20"/>
      <c r="K951" s="20"/>
      <c r="L951" s="19"/>
      <c r="M951" s="19"/>
      <c r="N951" s="19"/>
      <c r="O951" s="20"/>
      <c r="P951" s="20"/>
    </row>
    <row r="952" customFormat="false" ht="14.25" hidden="false" customHeight="true" outlineLevel="0" collapsed="false">
      <c r="A952" s="3" t="s">
        <v>1259</v>
      </c>
      <c r="B952" s="3" t="s">
        <v>1260</v>
      </c>
      <c r="C952" s="3" t="n">
        <v>224007</v>
      </c>
      <c r="D952" s="3" t="s">
        <v>1261</v>
      </c>
      <c r="E952" s="18" t="n">
        <v>45099</v>
      </c>
      <c r="F952" s="3" t="s">
        <v>1262</v>
      </c>
      <c r="G952" s="3" t="s">
        <v>5</v>
      </c>
      <c r="H952" s="19" t="n">
        <v>45099</v>
      </c>
      <c r="I952" s="19" t="n">
        <v>44957</v>
      </c>
      <c r="J952" s="20" t="n">
        <v>58</v>
      </c>
      <c r="K952" s="20" t="s">
        <v>1313</v>
      </c>
      <c r="L952" s="19" t="s">
        <v>12</v>
      </c>
      <c r="M952" s="19"/>
      <c r="N952" s="19"/>
      <c r="O952" s="20"/>
      <c r="P952" s="20"/>
    </row>
    <row r="953" customFormat="false" ht="14.25" hidden="false" customHeight="true" outlineLevel="0" collapsed="false">
      <c r="A953" s="3" t="s">
        <v>1259</v>
      </c>
      <c r="B953" s="3" t="s">
        <v>1260</v>
      </c>
      <c r="C953" s="3" t="n">
        <v>224007</v>
      </c>
      <c r="D953" s="3" t="s">
        <v>1264</v>
      </c>
      <c r="E953" s="18" t="n">
        <v>45113</v>
      </c>
      <c r="F953" s="3" t="s">
        <v>1262</v>
      </c>
      <c r="G953" s="3" t="s">
        <v>5</v>
      </c>
      <c r="H953" s="19"/>
      <c r="I953" s="19"/>
      <c r="J953" s="20"/>
      <c r="K953" s="20"/>
      <c r="L953" s="19"/>
      <c r="M953" s="19"/>
      <c r="N953" s="19"/>
      <c r="O953" s="20"/>
      <c r="P953" s="20"/>
    </row>
    <row r="954" customFormat="false" ht="14.25" hidden="false" customHeight="true" outlineLevel="0" collapsed="false">
      <c r="A954" s="3" t="s">
        <v>1259</v>
      </c>
      <c r="B954" s="3" t="s">
        <v>1260</v>
      </c>
      <c r="C954" s="3" t="n">
        <v>224007</v>
      </c>
      <c r="D954" s="3" t="s">
        <v>1269</v>
      </c>
      <c r="E954" s="18" t="n">
        <v>45127</v>
      </c>
      <c r="F954" s="3" t="s">
        <v>1262</v>
      </c>
      <c r="G954" s="3" t="s">
        <v>5</v>
      </c>
      <c r="H954" s="19"/>
      <c r="I954" s="19"/>
      <c r="J954" s="20"/>
      <c r="K954" s="20"/>
      <c r="L954" s="19"/>
      <c r="M954" s="19"/>
      <c r="N954" s="19"/>
      <c r="O954" s="20"/>
      <c r="P954" s="20"/>
    </row>
    <row r="955" customFormat="false" ht="14.25" hidden="false" customHeight="true" outlineLevel="0" collapsed="false">
      <c r="A955" s="3" t="s">
        <v>1259</v>
      </c>
      <c r="B955" s="3" t="s">
        <v>1260</v>
      </c>
      <c r="C955" s="3" t="n">
        <v>224007</v>
      </c>
      <c r="D955" s="3" t="s">
        <v>1271</v>
      </c>
      <c r="E955" s="18" t="n">
        <v>45141</v>
      </c>
      <c r="F955" s="3" t="s">
        <v>1262</v>
      </c>
      <c r="G955" s="3" t="s">
        <v>5</v>
      </c>
      <c r="H955" s="19"/>
      <c r="I955" s="19"/>
      <c r="J955" s="20"/>
      <c r="K955" s="20"/>
      <c r="L955" s="19"/>
      <c r="M955" s="19"/>
      <c r="N955" s="19"/>
      <c r="O955" s="20"/>
      <c r="P955" s="20"/>
    </row>
    <row r="956" customFormat="false" ht="14.25" hidden="false" customHeight="true" outlineLevel="0" collapsed="false">
      <c r="A956" s="3" t="s">
        <v>1259</v>
      </c>
      <c r="B956" s="3" t="s">
        <v>1260</v>
      </c>
      <c r="C956" s="3" t="n">
        <v>224007</v>
      </c>
      <c r="D956" s="3" t="s">
        <v>1273</v>
      </c>
      <c r="E956" s="18" t="n">
        <v>45155</v>
      </c>
      <c r="F956" s="3" t="s">
        <v>1262</v>
      </c>
      <c r="G956" s="3" t="s">
        <v>5</v>
      </c>
      <c r="H956" s="19"/>
      <c r="I956" s="19"/>
      <c r="J956" s="20"/>
      <c r="K956" s="20"/>
      <c r="L956" s="19"/>
      <c r="M956" s="19"/>
      <c r="N956" s="19"/>
      <c r="O956" s="20"/>
      <c r="P956" s="20"/>
    </row>
    <row r="957" customFormat="false" ht="14.25" hidden="false" customHeight="true" outlineLevel="0" collapsed="false">
      <c r="A957" s="3" t="s">
        <v>1259</v>
      </c>
      <c r="B957" s="3" t="s">
        <v>1260</v>
      </c>
      <c r="C957" s="3" t="n">
        <v>224007</v>
      </c>
      <c r="D957" s="3" t="s">
        <v>1469</v>
      </c>
      <c r="E957" s="18" t="n">
        <v>45155</v>
      </c>
      <c r="F957" s="3" t="s">
        <v>1262</v>
      </c>
      <c r="G957" s="3" t="s">
        <v>1275</v>
      </c>
      <c r="H957" s="19"/>
      <c r="I957" s="19"/>
      <c r="J957" s="20"/>
      <c r="K957" s="20"/>
      <c r="L957" s="19"/>
      <c r="M957" s="19"/>
      <c r="N957" s="19"/>
      <c r="O957" s="20"/>
      <c r="P957" s="20"/>
    </row>
    <row r="958" customFormat="false" ht="14.25" hidden="false" customHeight="true" outlineLevel="0" collapsed="false">
      <c r="A958" s="3" t="s">
        <v>1259</v>
      </c>
      <c r="B958" s="3" t="s">
        <v>1260</v>
      </c>
      <c r="C958" s="3" t="n">
        <v>224007</v>
      </c>
      <c r="D958" s="3" t="s">
        <v>1276</v>
      </c>
      <c r="E958" s="18" t="n">
        <v>45169</v>
      </c>
      <c r="F958" s="3" t="s">
        <v>1262</v>
      </c>
      <c r="G958" s="3" t="s">
        <v>5</v>
      </c>
      <c r="H958" s="19"/>
      <c r="I958" s="19"/>
      <c r="J958" s="20"/>
      <c r="K958" s="20"/>
      <c r="L958" s="19"/>
      <c r="M958" s="19"/>
      <c r="N958" s="19"/>
      <c r="O958" s="20"/>
      <c r="P958" s="20"/>
    </row>
    <row r="959" customFormat="false" ht="14.25" hidden="false" customHeight="true" outlineLevel="0" collapsed="false">
      <c r="A959" s="3" t="s">
        <v>1259</v>
      </c>
      <c r="B959" s="3" t="s">
        <v>1260</v>
      </c>
      <c r="C959" s="3" t="n">
        <v>224007</v>
      </c>
      <c r="D959" s="3" t="s">
        <v>1277</v>
      </c>
      <c r="E959" s="18" t="n">
        <v>45182</v>
      </c>
      <c r="F959" s="3" t="s">
        <v>1262</v>
      </c>
      <c r="G959" s="3" t="s">
        <v>5</v>
      </c>
      <c r="H959" s="19"/>
      <c r="I959" s="19"/>
      <c r="J959" s="20"/>
      <c r="K959" s="20"/>
      <c r="L959" s="19"/>
      <c r="M959" s="19"/>
      <c r="N959" s="19"/>
      <c r="O959" s="20"/>
      <c r="P959" s="20"/>
    </row>
    <row r="960" customFormat="false" ht="14.25" hidden="false" customHeight="true" outlineLevel="0" collapsed="false">
      <c r="A960" s="3" t="s">
        <v>1259</v>
      </c>
      <c r="B960" s="3" t="s">
        <v>1260</v>
      </c>
      <c r="C960" s="3" t="n">
        <v>224007</v>
      </c>
      <c r="D960" s="3" t="s">
        <v>1470</v>
      </c>
      <c r="E960" s="18" t="n">
        <v>45191</v>
      </c>
      <c r="F960" s="3" t="s">
        <v>1262</v>
      </c>
      <c r="G960" s="3" t="s">
        <v>1275</v>
      </c>
      <c r="H960" s="19"/>
      <c r="I960" s="19"/>
      <c r="J960" s="20"/>
      <c r="K960" s="20"/>
      <c r="L960" s="19"/>
      <c r="M960" s="19"/>
      <c r="N960" s="19"/>
      <c r="O960" s="20"/>
      <c r="P960" s="20"/>
    </row>
    <row r="961" customFormat="false" ht="14.25" hidden="false" customHeight="true" outlineLevel="0" collapsed="false">
      <c r="A961" s="3" t="s">
        <v>1259</v>
      </c>
      <c r="B961" s="3" t="s">
        <v>1260</v>
      </c>
      <c r="C961" s="3" t="n">
        <v>224007</v>
      </c>
      <c r="D961" s="3" t="s">
        <v>1278</v>
      </c>
      <c r="E961" s="18" t="n">
        <v>45196</v>
      </c>
      <c r="F961" s="3" t="s">
        <v>1262</v>
      </c>
      <c r="G961" s="3" t="s">
        <v>5</v>
      </c>
      <c r="H961" s="19"/>
      <c r="I961" s="19"/>
      <c r="J961" s="20"/>
      <c r="K961" s="20"/>
      <c r="L961" s="19"/>
      <c r="M961" s="19"/>
      <c r="N961" s="19"/>
      <c r="O961" s="20"/>
      <c r="P961" s="20"/>
    </row>
    <row r="962" customFormat="false" ht="14.25" hidden="false" customHeight="true" outlineLevel="0" collapsed="false">
      <c r="A962" s="3" t="s">
        <v>1259</v>
      </c>
      <c r="B962" s="3" t="s">
        <v>1260</v>
      </c>
      <c r="C962" s="3" t="n">
        <v>224007</v>
      </c>
      <c r="D962" s="3" t="s">
        <v>1471</v>
      </c>
      <c r="E962" s="18" t="n">
        <v>45204</v>
      </c>
      <c r="F962" s="3" t="s">
        <v>1262</v>
      </c>
      <c r="G962" s="3" t="s">
        <v>1268</v>
      </c>
      <c r="H962" s="19"/>
      <c r="I962" s="19"/>
      <c r="J962" s="20"/>
      <c r="K962" s="20"/>
      <c r="L962" s="19"/>
      <c r="M962" s="19"/>
      <c r="N962" s="19"/>
      <c r="O962" s="20"/>
      <c r="P962" s="20"/>
    </row>
    <row r="963" customFormat="false" ht="14.25" hidden="false" customHeight="true" outlineLevel="0" collapsed="false">
      <c r="A963" s="3" t="s">
        <v>1259</v>
      </c>
      <c r="B963" s="3" t="s">
        <v>1260</v>
      </c>
      <c r="C963" s="3" t="n">
        <v>224007</v>
      </c>
      <c r="D963" s="3" t="s">
        <v>1279</v>
      </c>
      <c r="E963" s="18" t="n">
        <v>45211</v>
      </c>
      <c r="F963" s="3" t="s">
        <v>1262</v>
      </c>
      <c r="G963" s="3" t="s">
        <v>5</v>
      </c>
      <c r="H963" s="19"/>
      <c r="I963" s="19"/>
      <c r="J963" s="20"/>
      <c r="K963" s="20"/>
      <c r="L963" s="19"/>
      <c r="M963" s="19"/>
      <c r="N963" s="19"/>
      <c r="O963" s="20"/>
      <c r="P963" s="20"/>
    </row>
    <row r="964" customFormat="false" ht="14.25" hidden="false" customHeight="true" outlineLevel="0" collapsed="false">
      <c r="A964" s="3" t="s">
        <v>1259</v>
      </c>
      <c r="B964" s="3" t="s">
        <v>1260</v>
      </c>
      <c r="C964" s="3" t="n">
        <v>224007</v>
      </c>
      <c r="D964" s="3" t="s">
        <v>1281</v>
      </c>
      <c r="E964" s="18" t="n">
        <v>45224</v>
      </c>
      <c r="F964" s="3" t="s">
        <v>1262</v>
      </c>
      <c r="G964" s="3" t="s">
        <v>5</v>
      </c>
      <c r="H964" s="19"/>
      <c r="I964" s="19"/>
      <c r="J964" s="20"/>
      <c r="K964" s="20"/>
      <c r="L964" s="19"/>
      <c r="M964" s="19"/>
      <c r="N964" s="19"/>
      <c r="O964" s="20"/>
      <c r="P964" s="20"/>
    </row>
    <row r="965" customFormat="false" ht="14.25" hidden="false" customHeight="true" outlineLevel="0" collapsed="false">
      <c r="A965" s="3" t="s">
        <v>1259</v>
      </c>
      <c r="B965" s="3" t="s">
        <v>1260</v>
      </c>
      <c r="C965" s="3" t="n">
        <v>224007</v>
      </c>
      <c r="D965" s="3" t="s">
        <v>1282</v>
      </c>
      <c r="E965" s="18" t="n">
        <v>45238</v>
      </c>
      <c r="F965" s="3" t="s">
        <v>1262</v>
      </c>
      <c r="G965" s="3" t="s">
        <v>5</v>
      </c>
      <c r="H965" s="19"/>
      <c r="I965" s="19"/>
      <c r="J965" s="20"/>
      <c r="K965" s="20"/>
      <c r="L965" s="19"/>
      <c r="M965" s="19"/>
      <c r="N965" s="19"/>
      <c r="O965" s="20"/>
      <c r="P965" s="20"/>
    </row>
    <row r="966" customFormat="false" ht="14.25" hidden="false" customHeight="true" outlineLevel="0" collapsed="false">
      <c r="A966" s="3" t="s">
        <v>1259</v>
      </c>
      <c r="B966" s="3" t="s">
        <v>1260</v>
      </c>
      <c r="C966" s="3" t="n">
        <v>224007</v>
      </c>
      <c r="D966" s="3" t="s">
        <v>1431</v>
      </c>
      <c r="E966" s="18" t="n">
        <v>45239</v>
      </c>
      <c r="F966" s="3" t="s">
        <v>1262</v>
      </c>
      <c r="G966" s="3" t="s">
        <v>1275</v>
      </c>
      <c r="H966" s="19"/>
      <c r="I966" s="19"/>
      <c r="J966" s="20"/>
      <c r="K966" s="20"/>
      <c r="L966" s="19"/>
      <c r="M966" s="19"/>
      <c r="N966" s="19"/>
      <c r="O966" s="20"/>
      <c r="P966" s="20"/>
    </row>
    <row r="967" customFormat="false" ht="14.25" hidden="false" customHeight="true" outlineLevel="0" collapsed="false">
      <c r="A967" s="3" t="s">
        <v>1259</v>
      </c>
      <c r="B967" s="3" t="s">
        <v>1260</v>
      </c>
      <c r="C967" s="3" t="n">
        <v>224007</v>
      </c>
      <c r="D967" s="3" t="s">
        <v>1283</v>
      </c>
      <c r="E967" s="18" t="n">
        <v>45252</v>
      </c>
      <c r="F967" s="3" t="s">
        <v>1262</v>
      </c>
      <c r="G967" s="3" t="s">
        <v>5</v>
      </c>
      <c r="H967" s="19"/>
      <c r="I967" s="19"/>
      <c r="J967" s="20"/>
      <c r="K967" s="20"/>
      <c r="L967" s="19"/>
      <c r="M967" s="19"/>
      <c r="N967" s="19"/>
      <c r="O967" s="20"/>
      <c r="P967" s="20"/>
    </row>
    <row r="968" customFormat="false" ht="14.25" hidden="false" customHeight="true" outlineLevel="0" collapsed="false">
      <c r="A968" s="3" t="s">
        <v>1259</v>
      </c>
      <c r="B968" s="3" t="s">
        <v>1260</v>
      </c>
      <c r="C968" s="3" t="n">
        <v>224007</v>
      </c>
      <c r="D968" s="3" t="s">
        <v>1284</v>
      </c>
      <c r="E968" s="18" t="n">
        <v>45266</v>
      </c>
      <c r="F968" s="3" t="s">
        <v>1262</v>
      </c>
      <c r="G968" s="3" t="s">
        <v>5</v>
      </c>
      <c r="H968" s="19"/>
      <c r="I968" s="19"/>
      <c r="J968" s="20"/>
      <c r="K968" s="20"/>
      <c r="L968" s="19"/>
      <c r="M968" s="19"/>
      <c r="N968" s="19"/>
      <c r="O968" s="20"/>
      <c r="P968" s="20"/>
    </row>
    <row r="969" customFormat="false" ht="14.25" hidden="false" customHeight="true" outlineLevel="0" collapsed="false">
      <c r="A969" s="3" t="s">
        <v>1259</v>
      </c>
      <c r="B969" s="3" t="s">
        <v>1260</v>
      </c>
      <c r="C969" s="3" t="n">
        <v>224007</v>
      </c>
      <c r="D969" s="3" t="s">
        <v>1286</v>
      </c>
      <c r="E969" s="18" t="n">
        <v>45280</v>
      </c>
      <c r="F969" s="3" t="s">
        <v>1262</v>
      </c>
      <c r="G969" s="3" t="s">
        <v>5</v>
      </c>
      <c r="H969" s="19"/>
      <c r="I969" s="19"/>
      <c r="J969" s="20"/>
      <c r="K969" s="20"/>
      <c r="L969" s="19"/>
      <c r="M969" s="19"/>
      <c r="N969" s="19"/>
      <c r="O969" s="20"/>
      <c r="P969" s="20"/>
    </row>
    <row r="970" customFormat="false" ht="14.25" hidden="false" customHeight="true" outlineLevel="0" collapsed="false">
      <c r="A970" s="3" t="s">
        <v>1259</v>
      </c>
      <c r="B970" s="3" t="s">
        <v>1260</v>
      </c>
      <c r="C970" s="3" t="n">
        <v>224007</v>
      </c>
      <c r="D970" s="3" t="s">
        <v>1472</v>
      </c>
      <c r="E970" s="18" t="n">
        <v>45281</v>
      </c>
      <c r="F970" s="3" t="s">
        <v>1262</v>
      </c>
      <c r="G970" s="3" t="s">
        <v>1275</v>
      </c>
      <c r="H970" s="19"/>
      <c r="I970" s="19"/>
      <c r="J970" s="20"/>
      <c r="K970" s="20"/>
      <c r="L970" s="19"/>
      <c r="M970" s="19"/>
      <c r="N970" s="19"/>
      <c r="O970" s="20"/>
      <c r="P970" s="20"/>
    </row>
    <row r="971" customFormat="false" ht="14.25" hidden="false" customHeight="true" outlineLevel="0" collapsed="false">
      <c r="A971" s="3" t="s">
        <v>1259</v>
      </c>
      <c r="B971" s="3" t="s">
        <v>1260</v>
      </c>
      <c r="C971" s="3" t="n">
        <v>224007</v>
      </c>
      <c r="D971" s="3" t="s">
        <v>1287</v>
      </c>
      <c r="E971" s="18" t="n">
        <v>45294</v>
      </c>
      <c r="F971" s="3" t="s">
        <v>1262</v>
      </c>
      <c r="G971" s="3" t="s">
        <v>5</v>
      </c>
      <c r="H971" s="19"/>
      <c r="I971" s="19"/>
      <c r="J971" s="20"/>
      <c r="K971" s="20"/>
      <c r="L971" s="19"/>
      <c r="M971" s="19"/>
      <c r="N971" s="19"/>
      <c r="O971" s="20"/>
      <c r="P971" s="20"/>
    </row>
    <row r="972" customFormat="false" ht="14.25" hidden="false" customHeight="true" outlineLevel="0" collapsed="false">
      <c r="A972" s="3" t="s">
        <v>1259</v>
      </c>
      <c r="B972" s="3" t="s">
        <v>1260</v>
      </c>
      <c r="C972" s="3" t="n">
        <v>224007</v>
      </c>
      <c r="D972" s="3" t="s">
        <v>1288</v>
      </c>
      <c r="E972" s="18" t="n">
        <v>45308</v>
      </c>
      <c r="F972" s="3" t="s">
        <v>1262</v>
      </c>
      <c r="G972" s="3" t="s">
        <v>5</v>
      </c>
      <c r="H972" s="19"/>
      <c r="I972" s="19"/>
      <c r="J972" s="20"/>
      <c r="K972" s="20"/>
      <c r="L972" s="19"/>
      <c r="M972" s="19"/>
      <c r="N972" s="19"/>
      <c r="O972" s="20"/>
      <c r="P972" s="20"/>
    </row>
    <row r="973" customFormat="false" ht="14.25" hidden="false" customHeight="true" outlineLevel="0" collapsed="false">
      <c r="A973" s="3" t="s">
        <v>1259</v>
      </c>
      <c r="B973" s="3" t="s">
        <v>1260</v>
      </c>
      <c r="C973" s="3" t="n">
        <v>224007</v>
      </c>
      <c r="D973" s="3" t="s">
        <v>1399</v>
      </c>
      <c r="E973" s="18" t="n">
        <v>45317</v>
      </c>
      <c r="F973" s="3" t="s">
        <v>1262</v>
      </c>
      <c r="G973" s="3" t="s">
        <v>1275</v>
      </c>
      <c r="H973" s="19"/>
      <c r="I973" s="19"/>
      <c r="J973" s="20"/>
      <c r="K973" s="20"/>
      <c r="L973" s="19"/>
      <c r="M973" s="19"/>
      <c r="N973" s="19"/>
      <c r="O973" s="20"/>
      <c r="P973" s="20"/>
    </row>
    <row r="974" customFormat="false" ht="14.25" hidden="false" customHeight="true" outlineLevel="0" collapsed="false">
      <c r="A974" s="3" t="s">
        <v>1259</v>
      </c>
      <c r="B974" s="3" t="s">
        <v>1260</v>
      </c>
      <c r="C974" s="3" t="n">
        <v>224007</v>
      </c>
      <c r="D974" s="3" t="s">
        <v>1289</v>
      </c>
      <c r="E974" s="18" t="n">
        <v>45322</v>
      </c>
      <c r="F974" s="3" t="s">
        <v>1262</v>
      </c>
      <c r="G974" s="3" t="s">
        <v>5</v>
      </c>
      <c r="H974" s="19"/>
      <c r="I974" s="19"/>
      <c r="J974" s="20"/>
      <c r="K974" s="20"/>
      <c r="L974" s="19"/>
      <c r="M974" s="19"/>
      <c r="N974" s="19"/>
      <c r="O974" s="20"/>
      <c r="P974" s="20"/>
    </row>
    <row r="975" customFormat="false" ht="14.25" hidden="false" customHeight="true" outlineLevel="0" collapsed="false">
      <c r="A975" s="3" t="s">
        <v>1259</v>
      </c>
      <c r="B975" s="3" t="s">
        <v>1260</v>
      </c>
      <c r="C975" s="3" t="n">
        <v>224007</v>
      </c>
      <c r="D975" s="3" t="s">
        <v>1290</v>
      </c>
      <c r="E975" s="18" t="n">
        <v>45336</v>
      </c>
      <c r="F975" s="3" t="s">
        <v>1262</v>
      </c>
      <c r="G975" s="3" t="s">
        <v>5</v>
      </c>
      <c r="H975" s="19"/>
      <c r="I975" s="19"/>
      <c r="J975" s="20"/>
      <c r="K975" s="20"/>
      <c r="L975" s="19"/>
      <c r="M975" s="19"/>
      <c r="N975" s="19"/>
      <c r="O975" s="20"/>
      <c r="P975" s="20"/>
    </row>
    <row r="976" customFormat="false" ht="14.25" hidden="false" customHeight="true" outlineLevel="0" collapsed="false">
      <c r="A976" s="3" t="s">
        <v>1259</v>
      </c>
      <c r="B976" s="3" t="s">
        <v>1260</v>
      </c>
      <c r="C976" s="3" t="n">
        <v>224007</v>
      </c>
      <c r="D976" s="3" t="s">
        <v>1292</v>
      </c>
      <c r="E976" s="18" t="n">
        <v>45351</v>
      </c>
      <c r="F976" s="3" t="s">
        <v>1262</v>
      </c>
      <c r="G976" s="3" t="s">
        <v>5</v>
      </c>
      <c r="H976" s="19"/>
      <c r="I976" s="19"/>
      <c r="J976" s="20"/>
      <c r="K976" s="20"/>
      <c r="L976" s="19"/>
      <c r="M976" s="19"/>
      <c r="N976" s="19"/>
      <c r="O976" s="20"/>
      <c r="P976" s="20"/>
    </row>
    <row r="977" customFormat="false" ht="14.25" hidden="false" customHeight="true" outlineLevel="0" collapsed="false">
      <c r="A977" s="3" t="s">
        <v>1259</v>
      </c>
      <c r="B977" s="3" t="s">
        <v>1260</v>
      </c>
      <c r="C977" s="3" t="n">
        <v>224007</v>
      </c>
      <c r="D977" s="3" t="s">
        <v>1392</v>
      </c>
      <c r="E977" s="18" t="n">
        <v>45358</v>
      </c>
      <c r="F977" s="3" t="s">
        <v>1262</v>
      </c>
      <c r="G977" s="3" t="s">
        <v>1275</v>
      </c>
      <c r="H977" s="19"/>
      <c r="I977" s="19"/>
      <c r="J977" s="20"/>
      <c r="K977" s="20"/>
      <c r="L977" s="19"/>
      <c r="M977" s="19"/>
      <c r="N977" s="19"/>
      <c r="O977" s="20"/>
      <c r="P977" s="20"/>
    </row>
    <row r="978" customFormat="false" ht="14.25" hidden="false" customHeight="true" outlineLevel="0" collapsed="false">
      <c r="A978" s="3" t="s">
        <v>1259</v>
      </c>
      <c r="B978" s="3" t="s">
        <v>1260</v>
      </c>
      <c r="C978" s="3" t="n">
        <v>224007</v>
      </c>
      <c r="D978" s="3" t="s">
        <v>1293</v>
      </c>
      <c r="E978" s="18" t="n">
        <v>45364</v>
      </c>
      <c r="F978" s="3" t="s">
        <v>1262</v>
      </c>
      <c r="G978" s="3" t="s">
        <v>5</v>
      </c>
      <c r="H978" s="19"/>
      <c r="I978" s="19"/>
      <c r="J978" s="20"/>
      <c r="K978" s="20"/>
      <c r="L978" s="19"/>
      <c r="M978" s="19"/>
      <c r="N978" s="19"/>
      <c r="O978" s="20"/>
      <c r="P978" s="20"/>
    </row>
    <row r="979" customFormat="false" ht="14.25" hidden="false" customHeight="true" outlineLevel="0" collapsed="false">
      <c r="A979" s="3" t="s">
        <v>1259</v>
      </c>
      <c r="B979" s="3" t="s">
        <v>1260</v>
      </c>
      <c r="C979" s="3" t="n">
        <v>224007</v>
      </c>
      <c r="D979" s="3" t="s">
        <v>1294</v>
      </c>
      <c r="E979" s="18" t="n">
        <v>45378</v>
      </c>
      <c r="F979" s="3" t="s">
        <v>1262</v>
      </c>
      <c r="G979" s="3" t="s">
        <v>5</v>
      </c>
      <c r="H979" s="19"/>
      <c r="I979" s="19"/>
      <c r="J979" s="20"/>
      <c r="K979" s="20"/>
      <c r="L979" s="19"/>
      <c r="M979" s="19"/>
      <c r="N979" s="19"/>
      <c r="O979" s="20"/>
      <c r="P979" s="20"/>
    </row>
    <row r="980" customFormat="false" ht="14.25" hidden="false" customHeight="true" outlineLevel="0" collapsed="false">
      <c r="A980" s="3" t="s">
        <v>1259</v>
      </c>
      <c r="B980" s="3" t="s">
        <v>1260</v>
      </c>
      <c r="C980" s="3" t="n">
        <v>224007</v>
      </c>
      <c r="D980" s="3" t="s">
        <v>1295</v>
      </c>
      <c r="E980" s="18" t="n">
        <v>45393</v>
      </c>
      <c r="F980" s="3" t="s">
        <v>1262</v>
      </c>
      <c r="G980" s="3" t="s">
        <v>5</v>
      </c>
      <c r="H980" s="19"/>
      <c r="I980" s="19"/>
      <c r="J980" s="20"/>
      <c r="K980" s="20"/>
      <c r="L980" s="19"/>
      <c r="M980" s="19"/>
      <c r="N980" s="19"/>
      <c r="O980" s="20"/>
      <c r="P980" s="20"/>
    </row>
    <row r="981" customFormat="false" ht="14.25" hidden="false" customHeight="true" outlineLevel="0" collapsed="false">
      <c r="A981" s="3" t="s">
        <v>1259</v>
      </c>
      <c r="B981" s="3" t="s">
        <v>1260</v>
      </c>
      <c r="C981" s="3" t="n">
        <v>224007</v>
      </c>
      <c r="D981" s="3" t="s">
        <v>1404</v>
      </c>
      <c r="E981" s="18" t="n">
        <v>45401</v>
      </c>
      <c r="F981" s="3" t="s">
        <v>1262</v>
      </c>
      <c r="G981" s="3" t="s">
        <v>1275</v>
      </c>
      <c r="H981" s="19"/>
      <c r="I981" s="19"/>
      <c r="J981" s="20"/>
      <c r="K981" s="20"/>
      <c r="L981" s="19"/>
      <c r="M981" s="19"/>
      <c r="N981" s="19"/>
      <c r="O981" s="20"/>
      <c r="P981" s="20"/>
    </row>
    <row r="982" customFormat="false" ht="14.25" hidden="false" customHeight="true" outlineLevel="0" collapsed="false">
      <c r="A982" s="3" t="s">
        <v>1259</v>
      </c>
      <c r="B982" s="3" t="s">
        <v>1260</v>
      </c>
      <c r="C982" s="3" t="n">
        <v>224007</v>
      </c>
      <c r="D982" s="3" t="s">
        <v>1297</v>
      </c>
      <c r="E982" s="18" t="n">
        <v>45406</v>
      </c>
      <c r="F982" s="3" t="s">
        <v>1262</v>
      </c>
      <c r="G982" s="3" t="s">
        <v>5</v>
      </c>
      <c r="H982" s="19"/>
      <c r="I982" s="19"/>
      <c r="J982" s="20"/>
      <c r="K982" s="20"/>
      <c r="L982" s="19"/>
      <c r="M982" s="19"/>
      <c r="N982" s="19"/>
      <c r="O982" s="20"/>
      <c r="P982" s="20"/>
    </row>
    <row r="983" customFormat="false" ht="14.25" hidden="false" customHeight="true" outlineLevel="0" collapsed="false">
      <c r="A983" s="3" t="s">
        <v>1259</v>
      </c>
      <c r="B983" s="3" t="s">
        <v>1260</v>
      </c>
      <c r="C983" s="3" t="n">
        <v>224008</v>
      </c>
      <c r="D983" s="3" t="s">
        <v>1261</v>
      </c>
      <c r="E983" s="18" t="n">
        <v>45120</v>
      </c>
      <c r="F983" s="3" t="s">
        <v>1262</v>
      </c>
      <c r="G983" s="3" t="s">
        <v>5</v>
      </c>
      <c r="H983" s="19" t="n">
        <v>45120</v>
      </c>
      <c r="I983" s="19" t="n">
        <v>44957</v>
      </c>
      <c r="J983" s="20" t="n">
        <v>55</v>
      </c>
      <c r="K983" s="20" t="s">
        <v>1313</v>
      </c>
      <c r="L983" s="19" t="s">
        <v>12</v>
      </c>
      <c r="M983" s="19"/>
      <c r="N983" s="19"/>
      <c r="O983" s="20"/>
      <c r="P983" s="20"/>
    </row>
    <row r="984" customFormat="false" ht="14.25" hidden="false" customHeight="true" outlineLevel="0" collapsed="false">
      <c r="A984" s="3" t="s">
        <v>1259</v>
      </c>
      <c r="B984" s="3" t="s">
        <v>1260</v>
      </c>
      <c r="C984" s="3" t="n">
        <v>224008</v>
      </c>
      <c r="D984" s="3" t="s">
        <v>1264</v>
      </c>
      <c r="E984" s="18" t="n">
        <v>45133</v>
      </c>
      <c r="F984" s="3" t="s">
        <v>1262</v>
      </c>
      <c r="G984" s="3" t="s">
        <v>5</v>
      </c>
      <c r="H984" s="19"/>
      <c r="I984" s="19"/>
      <c r="J984" s="20"/>
      <c r="K984" s="20"/>
      <c r="L984" s="19"/>
      <c r="M984" s="19"/>
      <c r="N984" s="19"/>
      <c r="O984" s="20"/>
      <c r="P984" s="20"/>
    </row>
    <row r="985" customFormat="false" ht="14.25" hidden="false" customHeight="true" outlineLevel="0" collapsed="false">
      <c r="A985" s="3" t="s">
        <v>1259</v>
      </c>
      <c r="B985" s="3" t="s">
        <v>1260</v>
      </c>
      <c r="C985" s="3" t="n">
        <v>224008</v>
      </c>
      <c r="D985" s="3" t="s">
        <v>1269</v>
      </c>
      <c r="E985" s="18" t="n">
        <v>45147</v>
      </c>
      <c r="F985" s="3" t="s">
        <v>1262</v>
      </c>
      <c r="G985" s="3" t="s">
        <v>5</v>
      </c>
      <c r="H985" s="19"/>
      <c r="I985" s="19"/>
      <c r="J985" s="20"/>
      <c r="K985" s="20"/>
      <c r="L985" s="19"/>
      <c r="M985" s="19"/>
      <c r="N985" s="19"/>
      <c r="O985" s="20"/>
      <c r="P985" s="20"/>
    </row>
    <row r="986" customFormat="false" ht="14.25" hidden="false" customHeight="true" outlineLevel="0" collapsed="false">
      <c r="A986" s="3" t="s">
        <v>1259</v>
      </c>
      <c r="B986" s="3" t="s">
        <v>1260</v>
      </c>
      <c r="C986" s="3" t="n">
        <v>224008</v>
      </c>
      <c r="D986" s="3" t="s">
        <v>1271</v>
      </c>
      <c r="E986" s="18" t="n">
        <v>45161</v>
      </c>
      <c r="F986" s="3" t="s">
        <v>1262</v>
      </c>
      <c r="G986" s="3" t="s">
        <v>5</v>
      </c>
      <c r="H986" s="19"/>
      <c r="I986" s="19"/>
      <c r="J986" s="20"/>
      <c r="K986" s="20"/>
      <c r="L986" s="19"/>
      <c r="M986" s="19"/>
      <c r="N986" s="19"/>
      <c r="O986" s="20"/>
      <c r="P986" s="20"/>
    </row>
    <row r="987" customFormat="false" ht="14.25" hidden="false" customHeight="true" outlineLevel="0" collapsed="false">
      <c r="A987" s="3" t="s">
        <v>1259</v>
      </c>
      <c r="B987" s="3" t="s">
        <v>1260</v>
      </c>
      <c r="C987" s="3" t="n">
        <v>224008</v>
      </c>
      <c r="D987" s="3" t="s">
        <v>1273</v>
      </c>
      <c r="E987" s="18" t="n">
        <v>45174</v>
      </c>
      <c r="F987" s="3" t="s">
        <v>1262</v>
      </c>
      <c r="G987" s="3" t="s">
        <v>5</v>
      </c>
      <c r="H987" s="19"/>
      <c r="I987" s="19"/>
      <c r="J987" s="20"/>
      <c r="K987" s="20"/>
      <c r="L987" s="19"/>
      <c r="M987" s="19"/>
      <c r="N987" s="19"/>
      <c r="O987" s="20"/>
      <c r="P987" s="20"/>
    </row>
    <row r="988" customFormat="false" ht="14.25" hidden="false" customHeight="true" outlineLevel="0" collapsed="false">
      <c r="A988" s="3" t="s">
        <v>1259</v>
      </c>
      <c r="B988" s="3" t="s">
        <v>1260</v>
      </c>
      <c r="C988" s="3" t="n">
        <v>224008</v>
      </c>
      <c r="D988" s="3" t="s">
        <v>1372</v>
      </c>
      <c r="E988" s="18" t="n">
        <v>45174</v>
      </c>
      <c r="F988" s="3" t="s">
        <v>1262</v>
      </c>
      <c r="G988" s="3" t="s">
        <v>1275</v>
      </c>
      <c r="H988" s="19"/>
      <c r="I988" s="19"/>
      <c r="J988" s="20"/>
      <c r="K988" s="20"/>
      <c r="L988" s="19"/>
      <c r="M988" s="19"/>
      <c r="N988" s="19"/>
      <c r="O988" s="20"/>
      <c r="P988" s="20"/>
    </row>
    <row r="989" customFormat="false" ht="14.25" hidden="false" customHeight="true" outlineLevel="0" collapsed="false">
      <c r="A989" s="3" t="s">
        <v>1259</v>
      </c>
      <c r="B989" s="3" t="s">
        <v>1260</v>
      </c>
      <c r="C989" s="3" t="n">
        <v>224008</v>
      </c>
      <c r="D989" s="3" t="s">
        <v>1276</v>
      </c>
      <c r="E989" s="18" t="n">
        <v>45189</v>
      </c>
      <c r="F989" s="3" t="s">
        <v>1262</v>
      </c>
      <c r="G989" s="3" t="s">
        <v>5</v>
      </c>
      <c r="H989" s="19"/>
      <c r="I989" s="19"/>
      <c r="J989" s="20"/>
      <c r="K989" s="20"/>
      <c r="L989" s="19"/>
      <c r="M989" s="19"/>
      <c r="N989" s="19"/>
      <c r="O989" s="20"/>
      <c r="P989" s="20"/>
    </row>
    <row r="990" customFormat="false" ht="14.25" hidden="false" customHeight="true" outlineLevel="0" collapsed="false">
      <c r="A990" s="3" t="s">
        <v>1259</v>
      </c>
      <c r="B990" s="3" t="s">
        <v>1260</v>
      </c>
      <c r="C990" s="3" t="n">
        <v>224008</v>
      </c>
      <c r="D990" s="3" t="s">
        <v>1277</v>
      </c>
      <c r="E990" s="18" t="n">
        <v>45203</v>
      </c>
      <c r="F990" s="3" t="s">
        <v>1262</v>
      </c>
      <c r="G990" s="3" t="s">
        <v>5</v>
      </c>
      <c r="H990" s="19"/>
      <c r="I990" s="19"/>
      <c r="J990" s="20"/>
      <c r="K990" s="20"/>
      <c r="L990" s="19"/>
      <c r="M990" s="19"/>
      <c r="N990" s="19"/>
      <c r="O990" s="20"/>
      <c r="P990" s="20"/>
    </row>
    <row r="991" customFormat="false" ht="14.25" hidden="false" customHeight="true" outlineLevel="0" collapsed="false">
      <c r="A991" s="3" t="s">
        <v>1259</v>
      </c>
      <c r="B991" s="3" t="s">
        <v>1260</v>
      </c>
      <c r="C991" s="3" t="n">
        <v>224008</v>
      </c>
      <c r="D991" s="3" t="s">
        <v>1278</v>
      </c>
      <c r="E991" s="18" t="n">
        <v>45217</v>
      </c>
      <c r="F991" s="3" t="s">
        <v>1262</v>
      </c>
      <c r="G991" s="3" t="s">
        <v>5</v>
      </c>
      <c r="H991" s="19"/>
      <c r="I991" s="19"/>
      <c r="J991" s="20"/>
      <c r="K991" s="20"/>
      <c r="L991" s="19"/>
      <c r="M991" s="19"/>
      <c r="N991" s="19"/>
      <c r="O991" s="20"/>
      <c r="P991" s="20"/>
    </row>
    <row r="992" customFormat="false" ht="14.25" hidden="false" customHeight="true" outlineLevel="0" collapsed="false">
      <c r="A992" s="3" t="s">
        <v>1259</v>
      </c>
      <c r="B992" s="3" t="s">
        <v>1260</v>
      </c>
      <c r="C992" s="3" t="n">
        <v>224008</v>
      </c>
      <c r="D992" s="3" t="s">
        <v>1473</v>
      </c>
      <c r="E992" s="18" t="n">
        <v>45217</v>
      </c>
      <c r="F992" s="3" t="s">
        <v>1262</v>
      </c>
      <c r="G992" s="3" t="s">
        <v>1275</v>
      </c>
      <c r="H992" s="19"/>
      <c r="I992" s="19"/>
      <c r="J992" s="20"/>
      <c r="K992" s="20"/>
      <c r="L992" s="19"/>
      <c r="M992" s="19"/>
      <c r="N992" s="19"/>
      <c r="O992" s="20"/>
      <c r="P992" s="20"/>
    </row>
    <row r="993" customFormat="false" ht="14.25" hidden="false" customHeight="true" outlineLevel="0" collapsed="false">
      <c r="A993" s="3" t="s">
        <v>1259</v>
      </c>
      <c r="B993" s="3" t="s">
        <v>1260</v>
      </c>
      <c r="C993" s="3" t="n">
        <v>224008</v>
      </c>
      <c r="D993" s="3" t="s">
        <v>1279</v>
      </c>
      <c r="E993" s="18" t="n">
        <v>45231</v>
      </c>
      <c r="F993" s="3" t="s">
        <v>1262</v>
      </c>
      <c r="G993" s="3" t="s">
        <v>5</v>
      </c>
      <c r="H993" s="19"/>
      <c r="I993" s="19"/>
      <c r="J993" s="20"/>
      <c r="K993" s="20"/>
      <c r="L993" s="19"/>
      <c r="M993" s="19"/>
      <c r="N993" s="19"/>
      <c r="O993" s="20"/>
      <c r="P993" s="20"/>
    </row>
    <row r="994" customFormat="false" ht="14.25" hidden="false" customHeight="true" outlineLevel="0" collapsed="false">
      <c r="A994" s="3" t="s">
        <v>1259</v>
      </c>
      <c r="B994" s="3" t="s">
        <v>1260</v>
      </c>
      <c r="C994" s="3" t="n">
        <v>224008</v>
      </c>
      <c r="D994" s="3" t="s">
        <v>1281</v>
      </c>
      <c r="E994" s="18" t="n">
        <v>45245</v>
      </c>
      <c r="F994" s="3" t="s">
        <v>1262</v>
      </c>
      <c r="G994" s="3" t="s">
        <v>5</v>
      </c>
      <c r="H994" s="19"/>
      <c r="I994" s="19"/>
      <c r="J994" s="20"/>
      <c r="K994" s="20"/>
      <c r="L994" s="19"/>
      <c r="M994" s="19"/>
      <c r="N994" s="19"/>
      <c r="O994" s="20"/>
      <c r="P994" s="20"/>
    </row>
    <row r="995" customFormat="false" ht="14.25" hidden="false" customHeight="true" outlineLevel="0" collapsed="false">
      <c r="A995" s="3" t="s">
        <v>1259</v>
      </c>
      <c r="B995" s="3" t="s">
        <v>1260</v>
      </c>
      <c r="C995" s="3" t="n">
        <v>224008</v>
      </c>
      <c r="D995" s="3" t="s">
        <v>1282</v>
      </c>
      <c r="E995" s="18" t="n">
        <v>45259</v>
      </c>
      <c r="F995" s="3" t="s">
        <v>1262</v>
      </c>
      <c r="G995" s="3" t="s">
        <v>5</v>
      </c>
      <c r="H995" s="19"/>
      <c r="I995" s="19"/>
      <c r="J995" s="20"/>
      <c r="K995" s="20"/>
      <c r="L995" s="19"/>
      <c r="M995" s="19"/>
      <c r="N995" s="19"/>
      <c r="O995" s="20"/>
      <c r="P995" s="20"/>
    </row>
    <row r="996" customFormat="false" ht="14.25" hidden="false" customHeight="true" outlineLevel="0" collapsed="false">
      <c r="A996" s="3" t="s">
        <v>1259</v>
      </c>
      <c r="B996" s="3" t="s">
        <v>1260</v>
      </c>
      <c r="C996" s="3" t="n">
        <v>224008</v>
      </c>
      <c r="D996" s="3" t="s">
        <v>1390</v>
      </c>
      <c r="E996" s="18" t="n">
        <v>45259</v>
      </c>
      <c r="F996" s="3" t="s">
        <v>1262</v>
      </c>
      <c r="G996" s="3" t="s">
        <v>1275</v>
      </c>
      <c r="H996" s="19"/>
      <c r="I996" s="19"/>
      <c r="J996" s="20"/>
      <c r="K996" s="20"/>
      <c r="L996" s="19"/>
      <c r="M996" s="19"/>
      <c r="N996" s="19"/>
      <c r="O996" s="20"/>
      <c r="P996" s="20"/>
    </row>
    <row r="997" customFormat="false" ht="14.25" hidden="false" customHeight="true" outlineLevel="0" collapsed="false">
      <c r="A997" s="3" t="s">
        <v>1259</v>
      </c>
      <c r="B997" s="3" t="s">
        <v>1260</v>
      </c>
      <c r="C997" s="3" t="n">
        <v>224008</v>
      </c>
      <c r="D997" s="3" t="s">
        <v>1283</v>
      </c>
      <c r="E997" s="18" t="n">
        <v>45273</v>
      </c>
      <c r="F997" s="3" t="s">
        <v>1262</v>
      </c>
      <c r="G997" s="3" t="s">
        <v>5</v>
      </c>
      <c r="H997" s="19"/>
      <c r="I997" s="19"/>
      <c r="J997" s="20"/>
      <c r="K997" s="20"/>
      <c r="L997" s="19"/>
      <c r="M997" s="19"/>
      <c r="N997" s="19"/>
      <c r="O997" s="20"/>
      <c r="P997" s="20"/>
    </row>
    <row r="998" customFormat="false" ht="14.25" hidden="false" customHeight="true" outlineLevel="0" collapsed="false">
      <c r="A998" s="3" t="s">
        <v>1259</v>
      </c>
      <c r="B998" s="3" t="s">
        <v>1260</v>
      </c>
      <c r="C998" s="3" t="n">
        <v>224008</v>
      </c>
      <c r="D998" s="3" t="s">
        <v>1284</v>
      </c>
      <c r="E998" s="18" t="n">
        <v>45287</v>
      </c>
      <c r="F998" s="3" t="s">
        <v>1262</v>
      </c>
      <c r="G998" s="3" t="s">
        <v>5</v>
      </c>
      <c r="H998" s="19"/>
      <c r="I998" s="19"/>
      <c r="J998" s="20"/>
      <c r="K998" s="20"/>
      <c r="L998" s="19"/>
      <c r="M998" s="19"/>
      <c r="N998" s="19"/>
      <c r="O998" s="20"/>
      <c r="P998" s="20"/>
    </row>
    <row r="999" customFormat="false" ht="14.25" hidden="false" customHeight="true" outlineLevel="0" collapsed="false">
      <c r="A999" s="3" t="s">
        <v>1259</v>
      </c>
      <c r="B999" s="3" t="s">
        <v>1260</v>
      </c>
      <c r="C999" s="3" t="n">
        <v>224008</v>
      </c>
      <c r="D999" s="3" t="s">
        <v>1474</v>
      </c>
      <c r="E999" s="18" t="n">
        <v>45292</v>
      </c>
      <c r="F999" s="3" t="s">
        <v>1262</v>
      </c>
      <c r="G999" s="3" t="s">
        <v>1268</v>
      </c>
      <c r="H999" s="19"/>
      <c r="I999" s="19"/>
      <c r="J999" s="20"/>
      <c r="K999" s="20"/>
      <c r="L999" s="19"/>
      <c r="M999" s="19"/>
      <c r="N999" s="19"/>
      <c r="O999" s="20"/>
      <c r="P999" s="20"/>
    </row>
    <row r="1000" customFormat="false" ht="14.25" hidden="false" customHeight="true" outlineLevel="0" collapsed="false">
      <c r="A1000" s="3" t="s">
        <v>1259</v>
      </c>
      <c r="B1000" s="3" t="s">
        <v>1260</v>
      </c>
      <c r="C1000" s="3" t="n">
        <v>224008</v>
      </c>
      <c r="D1000" s="3" t="s">
        <v>1286</v>
      </c>
      <c r="E1000" s="18" t="n">
        <v>45302</v>
      </c>
      <c r="F1000" s="3" t="s">
        <v>1262</v>
      </c>
      <c r="G1000" s="3" t="s">
        <v>5</v>
      </c>
      <c r="H1000" s="19"/>
      <c r="I1000" s="19"/>
      <c r="J1000" s="20"/>
      <c r="K1000" s="20"/>
      <c r="L1000" s="19"/>
      <c r="M1000" s="19"/>
      <c r="N1000" s="19"/>
      <c r="O1000" s="20"/>
      <c r="P1000" s="20"/>
    </row>
    <row r="1001" customFormat="false" ht="14.25" hidden="false" customHeight="true" outlineLevel="0" collapsed="false">
      <c r="A1001" s="3" t="s">
        <v>1259</v>
      </c>
      <c r="B1001" s="3" t="s">
        <v>1260</v>
      </c>
      <c r="C1001" s="3" t="n">
        <v>224008</v>
      </c>
      <c r="D1001" s="3" t="s">
        <v>1475</v>
      </c>
      <c r="E1001" s="18" t="n">
        <v>45302</v>
      </c>
      <c r="F1001" s="3" t="s">
        <v>1262</v>
      </c>
      <c r="G1001" s="3" t="s">
        <v>1275</v>
      </c>
      <c r="H1001" s="19"/>
      <c r="I1001" s="19"/>
      <c r="J1001" s="20"/>
      <c r="K1001" s="20"/>
      <c r="L1001" s="19"/>
      <c r="M1001" s="19"/>
      <c r="N1001" s="19"/>
      <c r="O1001" s="20"/>
      <c r="P1001" s="20"/>
    </row>
    <row r="1002" customFormat="false" ht="14.25" hidden="false" customHeight="true" outlineLevel="0" collapsed="false">
      <c r="A1002" s="3" t="s">
        <v>1259</v>
      </c>
      <c r="B1002" s="3" t="s">
        <v>1260</v>
      </c>
      <c r="C1002" s="3" t="n">
        <v>224008</v>
      </c>
      <c r="D1002" s="3" t="s">
        <v>1287</v>
      </c>
      <c r="E1002" s="18" t="n">
        <v>45315</v>
      </c>
      <c r="F1002" s="3" t="s">
        <v>1262</v>
      </c>
      <c r="G1002" s="3" t="s">
        <v>5</v>
      </c>
      <c r="H1002" s="19"/>
      <c r="I1002" s="19"/>
      <c r="J1002" s="20"/>
      <c r="K1002" s="20"/>
      <c r="L1002" s="19"/>
      <c r="M1002" s="19"/>
      <c r="N1002" s="19"/>
      <c r="O1002" s="20"/>
      <c r="P1002" s="20"/>
    </row>
    <row r="1003" customFormat="false" ht="14.25" hidden="false" customHeight="true" outlineLevel="0" collapsed="false">
      <c r="A1003" s="3" t="s">
        <v>1259</v>
      </c>
      <c r="B1003" s="3" t="s">
        <v>1260</v>
      </c>
      <c r="C1003" s="3" t="n">
        <v>224008</v>
      </c>
      <c r="D1003" s="3" t="s">
        <v>1288</v>
      </c>
      <c r="E1003" s="18" t="n">
        <v>45328</v>
      </c>
      <c r="F1003" s="3" t="s">
        <v>1262</v>
      </c>
      <c r="G1003" s="3" t="s">
        <v>5</v>
      </c>
      <c r="H1003" s="19"/>
      <c r="I1003" s="19"/>
      <c r="J1003" s="20"/>
      <c r="K1003" s="20"/>
      <c r="L1003" s="19"/>
      <c r="M1003" s="19"/>
      <c r="N1003" s="19"/>
      <c r="O1003" s="20"/>
      <c r="P1003" s="20"/>
    </row>
    <row r="1004" customFormat="false" ht="14.25" hidden="false" customHeight="true" outlineLevel="0" collapsed="false">
      <c r="A1004" s="3" t="s">
        <v>1259</v>
      </c>
      <c r="B1004" s="3" t="s">
        <v>1260</v>
      </c>
      <c r="C1004" s="3" t="n">
        <v>224008</v>
      </c>
      <c r="D1004" s="3" t="s">
        <v>1289</v>
      </c>
      <c r="E1004" s="18" t="n">
        <v>45343</v>
      </c>
      <c r="F1004" s="3" t="s">
        <v>1262</v>
      </c>
      <c r="G1004" s="3" t="s">
        <v>5</v>
      </c>
      <c r="H1004" s="19"/>
      <c r="I1004" s="19"/>
      <c r="J1004" s="20"/>
      <c r="K1004" s="20"/>
      <c r="L1004" s="19"/>
      <c r="M1004" s="19"/>
      <c r="N1004" s="19"/>
      <c r="O1004" s="20"/>
      <c r="P1004" s="20"/>
    </row>
    <row r="1005" customFormat="false" ht="14.25" hidden="false" customHeight="true" outlineLevel="0" collapsed="false">
      <c r="A1005" s="3" t="s">
        <v>1259</v>
      </c>
      <c r="B1005" s="3" t="s">
        <v>1260</v>
      </c>
      <c r="C1005" s="3" t="n">
        <v>224008</v>
      </c>
      <c r="D1005" s="3" t="s">
        <v>1449</v>
      </c>
      <c r="E1005" s="18" t="n">
        <v>45343</v>
      </c>
      <c r="F1005" s="3" t="s">
        <v>1262</v>
      </c>
      <c r="G1005" s="3" t="s">
        <v>1275</v>
      </c>
      <c r="H1005" s="19"/>
      <c r="I1005" s="19"/>
      <c r="J1005" s="20"/>
      <c r="K1005" s="20"/>
      <c r="L1005" s="19"/>
      <c r="M1005" s="19"/>
      <c r="N1005" s="19"/>
      <c r="O1005" s="20"/>
      <c r="P1005" s="20"/>
    </row>
    <row r="1006" customFormat="false" ht="14.25" hidden="false" customHeight="true" outlineLevel="0" collapsed="false">
      <c r="A1006" s="3" t="s">
        <v>1259</v>
      </c>
      <c r="B1006" s="3" t="s">
        <v>1260</v>
      </c>
      <c r="C1006" s="3" t="n">
        <v>224008</v>
      </c>
      <c r="D1006" s="3" t="s">
        <v>1290</v>
      </c>
      <c r="E1006" s="18" t="n">
        <v>45357</v>
      </c>
      <c r="F1006" s="3" t="s">
        <v>1262</v>
      </c>
      <c r="G1006" s="3" t="s">
        <v>5</v>
      </c>
      <c r="H1006" s="19"/>
      <c r="I1006" s="19"/>
      <c r="J1006" s="20"/>
      <c r="K1006" s="20"/>
      <c r="L1006" s="19"/>
      <c r="M1006" s="19"/>
      <c r="N1006" s="19"/>
      <c r="O1006" s="20"/>
      <c r="P1006" s="20"/>
    </row>
    <row r="1007" customFormat="false" ht="14.25" hidden="false" customHeight="true" outlineLevel="0" collapsed="false">
      <c r="A1007" s="3" t="s">
        <v>1259</v>
      </c>
      <c r="B1007" s="3" t="s">
        <v>1260</v>
      </c>
      <c r="C1007" s="3" t="n">
        <v>224008</v>
      </c>
      <c r="D1007" s="3" t="s">
        <v>1292</v>
      </c>
      <c r="E1007" s="18" t="n">
        <v>45371</v>
      </c>
      <c r="F1007" s="3" t="s">
        <v>1262</v>
      </c>
      <c r="G1007" s="3" t="s">
        <v>5</v>
      </c>
      <c r="H1007" s="19"/>
      <c r="I1007" s="19"/>
      <c r="J1007" s="20"/>
      <c r="K1007" s="20"/>
      <c r="L1007" s="19"/>
      <c r="M1007" s="19"/>
      <c r="N1007" s="19"/>
      <c r="O1007" s="20"/>
      <c r="P1007" s="20"/>
    </row>
    <row r="1008" customFormat="false" ht="14.25" hidden="false" customHeight="true" outlineLevel="0" collapsed="false">
      <c r="A1008" s="3" t="s">
        <v>1259</v>
      </c>
      <c r="B1008" s="3" t="s">
        <v>1260</v>
      </c>
      <c r="C1008" s="3" t="n">
        <v>224008</v>
      </c>
      <c r="D1008" s="3" t="s">
        <v>1293</v>
      </c>
      <c r="E1008" s="18" t="n">
        <v>45385</v>
      </c>
      <c r="F1008" s="3" t="s">
        <v>1262</v>
      </c>
      <c r="G1008" s="3" t="s">
        <v>5</v>
      </c>
      <c r="H1008" s="19"/>
      <c r="I1008" s="19"/>
      <c r="J1008" s="20"/>
      <c r="K1008" s="20"/>
      <c r="L1008" s="19"/>
      <c r="M1008" s="19"/>
      <c r="N1008" s="19"/>
      <c r="O1008" s="20"/>
      <c r="P1008" s="20"/>
    </row>
    <row r="1009" customFormat="false" ht="14.25" hidden="false" customHeight="true" outlineLevel="0" collapsed="false">
      <c r="A1009" s="3" t="s">
        <v>1259</v>
      </c>
      <c r="B1009" s="3" t="s">
        <v>1260</v>
      </c>
      <c r="C1009" s="3" t="n">
        <v>224008</v>
      </c>
      <c r="D1009" s="3" t="s">
        <v>1446</v>
      </c>
      <c r="E1009" s="18" t="n">
        <v>45385</v>
      </c>
      <c r="F1009" s="3" t="s">
        <v>1262</v>
      </c>
      <c r="G1009" s="3" t="s">
        <v>1275</v>
      </c>
      <c r="H1009" s="19"/>
      <c r="I1009" s="19"/>
      <c r="J1009" s="20"/>
      <c r="K1009" s="20"/>
      <c r="L1009" s="19"/>
      <c r="M1009" s="19"/>
      <c r="N1009" s="19"/>
      <c r="O1009" s="20"/>
      <c r="P1009" s="20"/>
    </row>
    <row r="1010" customFormat="false" ht="14.25" hidden="false" customHeight="true" outlineLevel="0" collapsed="false">
      <c r="A1010" s="3" t="s">
        <v>1259</v>
      </c>
      <c r="B1010" s="3" t="s">
        <v>1260</v>
      </c>
      <c r="C1010" s="3" t="n">
        <v>224008</v>
      </c>
      <c r="D1010" s="3" t="s">
        <v>1294</v>
      </c>
      <c r="E1010" s="18" t="n">
        <v>45399</v>
      </c>
      <c r="F1010" s="3" t="s">
        <v>1262</v>
      </c>
      <c r="G1010" s="3" t="s">
        <v>5</v>
      </c>
      <c r="H1010" s="19"/>
      <c r="I1010" s="19"/>
      <c r="J1010" s="20"/>
      <c r="K1010" s="20"/>
      <c r="L1010" s="19"/>
      <c r="M1010" s="19"/>
      <c r="N1010" s="19"/>
      <c r="O1010" s="20"/>
      <c r="P1010" s="20"/>
    </row>
    <row r="1011" customFormat="false" ht="14.25" hidden="false" customHeight="true" outlineLevel="0" collapsed="false">
      <c r="A1011" s="3" t="s">
        <v>1259</v>
      </c>
      <c r="B1011" s="3" t="s">
        <v>1260</v>
      </c>
      <c r="C1011" s="3" t="n">
        <v>224008</v>
      </c>
      <c r="D1011" s="3" t="s">
        <v>1295</v>
      </c>
      <c r="E1011" s="18" t="n">
        <v>45412</v>
      </c>
      <c r="F1011" s="3" t="s">
        <v>1262</v>
      </c>
      <c r="G1011" s="3" t="s">
        <v>5</v>
      </c>
      <c r="H1011" s="19"/>
      <c r="I1011" s="19"/>
      <c r="J1011" s="20"/>
      <c r="K1011" s="20"/>
      <c r="L1011" s="19"/>
      <c r="M1011" s="19"/>
      <c r="N1011" s="19"/>
      <c r="O1011" s="20"/>
      <c r="P1011" s="20"/>
    </row>
    <row r="1012" customFormat="false" ht="14.25" hidden="false" customHeight="true" outlineLevel="0" collapsed="false">
      <c r="A1012" s="3" t="s">
        <v>1259</v>
      </c>
      <c r="B1012" s="3" t="s">
        <v>1260</v>
      </c>
      <c r="C1012" s="3" t="n">
        <v>224008</v>
      </c>
      <c r="D1012" s="3" t="s">
        <v>1297</v>
      </c>
      <c r="E1012" s="18" t="n">
        <v>45428</v>
      </c>
      <c r="F1012" s="3" t="s">
        <v>1262</v>
      </c>
      <c r="G1012" s="3" t="s">
        <v>5</v>
      </c>
      <c r="H1012" s="19"/>
      <c r="I1012" s="19"/>
      <c r="J1012" s="20"/>
      <c r="K1012" s="20"/>
      <c r="L1012" s="19"/>
      <c r="M1012" s="19"/>
      <c r="N1012" s="19"/>
      <c r="O1012" s="20"/>
      <c r="P1012" s="20"/>
    </row>
    <row r="1013" customFormat="false" ht="14.25" hidden="false" customHeight="true" outlineLevel="0" collapsed="false">
      <c r="A1013" s="3" t="s">
        <v>1259</v>
      </c>
      <c r="B1013" s="3" t="s">
        <v>1260</v>
      </c>
      <c r="C1013" s="3" t="n">
        <v>224008</v>
      </c>
      <c r="D1013" s="3" t="s">
        <v>1323</v>
      </c>
      <c r="E1013" s="18" t="n">
        <v>45428</v>
      </c>
      <c r="F1013" s="3" t="s">
        <v>1262</v>
      </c>
      <c r="G1013" s="3" t="s">
        <v>1275</v>
      </c>
      <c r="H1013" s="19"/>
      <c r="I1013" s="19"/>
      <c r="J1013" s="20"/>
      <c r="K1013" s="20"/>
      <c r="L1013" s="19"/>
      <c r="M1013" s="19"/>
      <c r="N1013" s="19"/>
      <c r="O1013" s="20"/>
      <c r="P1013" s="20"/>
    </row>
    <row r="1014" customFormat="false" ht="14.25" hidden="false" customHeight="true" outlineLevel="0" collapsed="false">
      <c r="A1014" s="3" t="s">
        <v>1259</v>
      </c>
      <c r="B1014" s="3" t="s">
        <v>1260</v>
      </c>
      <c r="C1014" s="3" t="n">
        <v>224010</v>
      </c>
      <c r="D1014" s="3" t="s">
        <v>1261</v>
      </c>
      <c r="E1014" s="18" t="n">
        <v>45139</v>
      </c>
      <c r="F1014" s="3" t="s">
        <v>1262</v>
      </c>
      <c r="G1014" s="3" t="s">
        <v>5</v>
      </c>
      <c r="H1014" s="19" t="n">
        <v>45139</v>
      </c>
      <c r="I1014" s="19" t="n">
        <v>45054</v>
      </c>
      <c r="J1014" s="20" t="n">
        <v>61</v>
      </c>
      <c r="K1014" s="20" t="s">
        <v>1263</v>
      </c>
      <c r="L1014" s="19" t="s">
        <v>12</v>
      </c>
      <c r="M1014" s="19" t="s">
        <v>1334</v>
      </c>
      <c r="N1014" s="19" t="n">
        <v>45196</v>
      </c>
      <c r="O1014" s="20" t="s">
        <v>1354</v>
      </c>
      <c r="P1014" s="20"/>
    </row>
    <row r="1015" customFormat="false" ht="14.25" hidden="false" customHeight="true" outlineLevel="0" collapsed="false">
      <c r="A1015" s="3" t="s">
        <v>1259</v>
      </c>
      <c r="B1015" s="3" t="s">
        <v>1260</v>
      </c>
      <c r="C1015" s="3" t="n">
        <v>224010</v>
      </c>
      <c r="D1015" s="3" t="s">
        <v>1264</v>
      </c>
      <c r="E1015" s="18" t="n">
        <v>45167</v>
      </c>
      <c r="F1015" s="3" t="s">
        <v>1262</v>
      </c>
      <c r="G1015" s="3" t="s">
        <v>5</v>
      </c>
      <c r="H1015" s="19"/>
      <c r="I1015" s="19"/>
      <c r="J1015" s="20"/>
      <c r="K1015" s="20"/>
      <c r="L1015" s="19"/>
      <c r="M1015" s="19"/>
      <c r="N1015" s="19"/>
      <c r="O1015" s="20"/>
      <c r="P1015" s="20"/>
    </row>
    <row r="1016" customFormat="false" ht="14.25" hidden="false" customHeight="true" outlineLevel="0" collapsed="false">
      <c r="A1016" s="3" t="s">
        <v>1259</v>
      </c>
      <c r="B1016" s="3" t="s">
        <v>1260</v>
      </c>
      <c r="C1016" s="3" t="n">
        <v>224010</v>
      </c>
      <c r="D1016" s="3" t="s">
        <v>1476</v>
      </c>
      <c r="E1016" s="18" t="n">
        <v>45173</v>
      </c>
      <c r="F1016" s="3" t="s">
        <v>1262</v>
      </c>
      <c r="G1016" s="3" t="s">
        <v>1268</v>
      </c>
      <c r="H1016" s="19"/>
      <c r="I1016" s="19"/>
      <c r="J1016" s="20"/>
      <c r="K1016" s="20"/>
      <c r="L1016" s="19"/>
      <c r="M1016" s="19"/>
      <c r="N1016" s="19"/>
      <c r="O1016" s="20"/>
      <c r="P1016" s="20"/>
    </row>
    <row r="1017" customFormat="false" ht="14.25" hidden="false" customHeight="true" outlineLevel="0" collapsed="false">
      <c r="A1017" s="3" t="s">
        <v>1259</v>
      </c>
      <c r="B1017" s="3" t="s">
        <v>1260</v>
      </c>
      <c r="C1017" s="3" t="n">
        <v>224010</v>
      </c>
      <c r="D1017" s="3" t="s">
        <v>1269</v>
      </c>
      <c r="E1017" s="18" t="n">
        <v>45183</v>
      </c>
      <c r="F1017" s="3" t="s">
        <v>1262</v>
      </c>
      <c r="G1017" s="3" t="s">
        <v>5</v>
      </c>
      <c r="H1017" s="19"/>
      <c r="I1017" s="19"/>
      <c r="J1017" s="20"/>
      <c r="K1017" s="20"/>
      <c r="L1017" s="19"/>
      <c r="M1017" s="19"/>
      <c r="N1017" s="19"/>
      <c r="O1017" s="20"/>
      <c r="P1017" s="20"/>
    </row>
    <row r="1018" customFormat="false" ht="14.25" hidden="false" customHeight="true" outlineLevel="0" collapsed="false">
      <c r="A1018" s="3" t="s">
        <v>1259</v>
      </c>
      <c r="B1018" s="3" t="s">
        <v>1260</v>
      </c>
      <c r="C1018" s="3" t="n">
        <v>224010</v>
      </c>
      <c r="D1018" s="3" t="s">
        <v>1477</v>
      </c>
      <c r="E1018" s="18" t="n">
        <v>45194</v>
      </c>
      <c r="F1018" s="3" t="s">
        <v>1262</v>
      </c>
      <c r="G1018" s="3" t="s">
        <v>1268</v>
      </c>
      <c r="H1018" s="19"/>
      <c r="I1018" s="19"/>
      <c r="J1018" s="20"/>
      <c r="K1018" s="20"/>
      <c r="L1018" s="19"/>
      <c r="M1018" s="19"/>
      <c r="N1018" s="19"/>
      <c r="O1018" s="20"/>
      <c r="P1018" s="20"/>
    </row>
    <row r="1019" customFormat="false" ht="14.25" hidden="false" customHeight="true" outlineLevel="0" collapsed="false">
      <c r="A1019" s="3" t="s">
        <v>1259</v>
      </c>
      <c r="B1019" s="3" t="s">
        <v>1260</v>
      </c>
      <c r="C1019" s="3" t="n">
        <v>224010</v>
      </c>
      <c r="D1019" s="3" t="s">
        <v>1376</v>
      </c>
      <c r="F1019" s="3" t="s">
        <v>1262</v>
      </c>
      <c r="G1019" s="3" t="s">
        <v>5</v>
      </c>
      <c r="H1019" s="19"/>
      <c r="I1019" s="19"/>
      <c r="J1019" s="20"/>
      <c r="K1019" s="20"/>
      <c r="L1019" s="19"/>
      <c r="M1019" s="19"/>
      <c r="N1019" s="19"/>
      <c r="O1019" s="20"/>
      <c r="P1019" s="20"/>
    </row>
    <row r="1020" customFormat="false" ht="14.25" hidden="false" customHeight="true" outlineLevel="0" collapsed="false">
      <c r="A1020" s="3" t="s">
        <v>1259</v>
      </c>
      <c r="B1020" s="3" t="s">
        <v>1260</v>
      </c>
      <c r="C1020" s="3" t="n">
        <v>224011</v>
      </c>
      <c r="D1020" s="3" t="s">
        <v>1261</v>
      </c>
      <c r="E1020" s="18" t="n">
        <v>45141</v>
      </c>
      <c r="F1020" s="3" t="s">
        <v>1262</v>
      </c>
      <c r="G1020" s="3" t="s">
        <v>5</v>
      </c>
      <c r="H1020" s="19" t="n">
        <v>45141</v>
      </c>
      <c r="I1020" s="19" t="n">
        <v>44957</v>
      </c>
      <c r="J1020" s="20" t="n">
        <v>74</v>
      </c>
      <c r="K1020" s="20" t="s">
        <v>1313</v>
      </c>
      <c r="L1020" s="19" t="s">
        <v>12</v>
      </c>
      <c r="M1020" s="19"/>
      <c r="N1020" s="19"/>
      <c r="O1020" s="20"/>
      <c r="P1020" s="20"/>
    </row>
    <row r="1021" customFormat="false" ht="14.25" hidden="false" customHeight="true" outlineLevel="0" collapsed="false">
      <c r="A1021" s="3" t="s">
        <v>1259</v>
      </c>
      <c r="B1021" s="3" t="s">
        <v>1260</v>
      </c>
      <c r="C1021" s="3" t="n">
        <v>224011</v>
      </c>
      <c r="D1021" s="3" t="s">
        <v>1264</v>
      </c>
      <c r="E1021" s="18" t="n">
        <v>45155</v>
      </c>
      <c r="F1021" s="3" t="s">
        <v>1262</v>
      </c>
      <c r="G1021" s="3" t="s">
        <v>5</v>
      </c>
      <c r="H1021" s="19"/>
      <c r="I1021" s="19"/>
      <c r="J1021" s="20"/>
      <c r="K1021" s="20"/>
      <c r="L1021" s="19"/>
      <c r="M1021" s="19"/>
      <c r="N1021" s="19"/>
      <c r="O1021" s="20"/>
      <c r="P1021" s="20"/>
    </row>
    <row r="1022" customFormat="false" ht="14.25" hidden="false" customHeight="true" outlineLevel="0" collapsed="false">
      <c r="A1022" s="3" t="s">
        <v>1259</v>
      </c>
      <c r="B1022" s="3" t="s">
        <v>1260</v>
      </c>
      <c r="C1022" s="3" t="n">
        <v>224011</v>
      </c>
      <c r="D1022" s="3" t="s">
        <v>1269</v>
      </c>
      <c r="E1022" s="18" t="n">
        <v>45169</v>
      </c>
      <c r="F1022" s="3" t="s">
        <v>1262</v>
      </c>
      <c r="G1022" s="3" t="s">
        <v>5</v>
      </c>
      <c r="H1022" s="19"/>
      <c r="I1022" s="19"/>
      <c r="J1022" s="20"/>
      <c r="K1022" s="20"/>
      <c r="L1022" s="19"/>
      <c r="M1022" s="19"/>
      <c r="N1022" s="19"/>
      <c r="O1022" s="20"/>
      <c r="P1022" s="20"/>
    </row>
    <row r="1023" customFormat="false" ht="14.25" hidden="false" customHeight="true" outlineLevel="0" collapsed="false">
      <c r="A1023" s="3" t="s">
        <v>1259</v>
      </c>
      <c r="B1023" s="3" t="s">
        <v>1260</v>
      </c>
      <c r="C1023" s="3" t="n">
        <v>224011</v>
      </c>
      <c r="D1023" s="3" t="s">
        <v>1271</v>
      </c>
      <c r="E1023" s="18" t="n">
        <v>45182</v>
      </c>
      <c r="F1023" s="3" t="s">
        <v>1262</v>
      </c>
      <c r="G1023" s="3" t="s">
        <v>5</v>
      </c>
      <c r="H1023" s="19"/>
      <c r="I1023" s="19"/>
      <c r="J1023" s="20"/>
      <c r="K1023" s="20"/>
      <c r="L1023" s="19"/>
      <c r="M1023" s="19"/>
      <c r="N1023" s="19"/>
      <c r="O1023" s="20"/>
      <c r="P1023" s="20"/>
    </row>
    <row r="1024" customFormat="false" ht="14.25" hidden="false" customHeight="true" outlineLevel="0" collapsed="false">
      <c r="A1024" s="3" t="s">
        <v>1259</v>
      </c>
      <c r="B1024" s="3" t="s">
        <v>1260</v>
      </c>
      <c r="C1024" s="3" t="n">
        <v>224011</v>
      </c>
      <c r="D1024" s="3" t="s">
        <v>1273</v>
      </c>
      <c r="E1024" s="18" t="n">
        <v>45196</v>
      </c>
      <c r="F1024" s="3" t="s">
        <v>1262</v>
      </c>
      <c r="G1024" s="3" t="s">
        <v>5</v>
      </c>
      <c r="H1024" s="19"/>
      <c r="I1024" s="19"/>
      <c r="J1024" s="20"/>
      <c r="K1024" s="20"/>
      <c r="L1024" s="19"/>
      <c r="M1024" s="19"/>
      <c r="N1024" s="19"/>
      <c r="O1024" s="20"/>
      <c r="P1024" s="20"/>
    </row>
    <row r="1025" customFormat="false" ht="14.25" hidden="false" customHeight="true" outlineLevel="0" collapsed="false">
      <c r="A1025" s="3" t="s">
        <v>1259</v>
      </c>
      <c r="B1025" s="3" t="s">
        <v>1260</v>
      </c>
      <c r="C1025" s="3" t="n">
        <v>224011</v>
      </c>
      <c r="D1025" s="3" t="s">
        <v>1319</v>
      </c>
      <c r="E1025" s="18" t="n">
        <v>45204</v>
      </c>
      <c r="F1025" s="3" t="s">
        <v>1262</v>
      </c>
      <c r="G1025" s="3" t="s">
        <v>1275</v>
      </c>
      <c r="H1025" s="19"/>
      <c r="I1025" s="19"/>
      <c r="J1025" s="20"/>
      <c r="K1025" s="20"/>
      <c r="L1025" s="19"/>
      <c r="M1025" s="19"/>
      <c r="N1025" s="19"/>
      <c r="O1025" s="20"/>
      <c r="P1025" s="20"/>
    </row>
    <row r="1026" customFormat="false" ht="14.25" hidden="false" customHeight="true" outlineLevel="0" collapsed="false">
      <c r="A1026" s="3" t="s">
        <v>1259</v>
      </c>
      <c r="B1026" s="3" t="s">
        <v>1260</v>
      </c>
      <c r="C1026" s="3" t="n">
        <v>224011</v>
      </c>
      <c r="D1026" s="3" t="s">
        <v>1276</v>
      </c>
      <c r="E1026" s="18" t="n">
        <v>45211</v>
      </c>
      <c r="F1026" s="3" t="s">
        <v>1262</v>
      </c>
      <c r="G1026" s="3" t="s">
        <v>5</v>
      </c>
      <c r="H1026" s="19"/>
      <c r="I1026" s="19"/>
      <c r="J1026" s="20"/>
      <c r="K1026" s="20"/>
      <c r="L1026" s="19"/>
      <c r="M1026" s="19"/>
      <c r="N1026" s="19"/>
      <c r="O1026" s="20"/>
      <c r="P1026" s="20"/>
    </row>
    <row r="1027" customFormat="false" ht="14.25" hidden="false" customHeight="true" outlineLevel="0" collapsed="false">
      <c r="A1027" s="3" t="s">
        <v>1259</v>
      </c>
      <c r="B1027" s="3" t="s">
        <v>1260</v>
      </c>
      <c r="C1027" s="3" t="n">
        <v>224011</v>
      </c>
      <c r="D1027" s="3" t="s">
        <v>1277</v>
      </c>
      <c r="E1027" s="18" t="n">
        <v>45225</v>
      </c>
      <c r="F1027" s="3" t="s">
        <v>1262</v>
      </c>
      <c r="G1027" s="3" t="s">
        <v>5</v>
      </c>
      <c r="H1027" s="19"/>
      <c r="I1027" s="19"/>
      <c r="J1027" s="20"/>
      <c r="K1027" s="20"/>
      <c r="L1027" s="19"/>
      <c r="M1027" s="19"/>
      <c r="N1027" s="19"/>
      <c r="O1027" s="20"/>
      <c r="P1027" s="20"/>
    </row>
    <row r="1028" customFormat="false" ht="14.25" hidden="false" customHeight="true" outlineLevel="0" collapsed="false">
      <c r="A1028" s="3" t="s">
        <v>1259</v>
      </c>
      <c r="B1028" s="3" t="s">
        <v>1260</v>
      </c>
      <c r="C1028" s="3" t="n">
        <v>224011</v>
      </c>
      <c r="D1028" s="3" t="s">
        <v>1278</v>
      </c>
      <c r="E1028" s="18" t="n">
        <v>45239</v>
      </c>
      <c r="F1028" s="3" t="s">
        <v>1262</v>
      </c>
      <c r="G1028" s="3" t="s">
        <v>5</v>
      </c>
      <c r="H1028" s="19"/>
      <c r="I1028" s="19"/>
      <c r="J1028" s="20"/>
      <c r="K1028" s="20"/>
      <c r="L1028" s="19"/>
      <c r="M1028" s="19"/>
      <c r="N1028" s="19"/>
      <c r="O1028" s="20"/>
      <c r="P1028" s="20"/>
    </row>
    <row r="1029" customFormat="false" ht="14.25" hidden="false" customHeight="true" outlineLevel="0" collapsed="false">
      <c r="A1029" s="3" t="s">
        <v>1259</v>
      </c>
      <c r="B1029" s="3" t="s">
        <v>1260</v>
      </c>
      <c r="C1029" s="3" t="n">
        <v>224011</v>
      </c>
      <c r="D1029" s="3" t="s">
        <v>1431</v>
      </c>
      <c r="E1029" s="18" t="n">
        <v>45239</v>
      </c>
      <c r="F1029" s="3" t="s">
        <v>1262</v>
      </c>
      <c r="G1029" s="3" t="s">
        <v>1275</v>
      </c>
      <c r="H1029" s="19"/>
      <c r="I1029" s="19"/>
      <c r="J1029" s="20"/>
      <c r="K1029" s="20"/>
      <c r="L1029" s="19"/>
      <c r="M1029" s="19"/>
      <c r="N1029" s="19"/>
      <c r="O1029" s="20"/>
      <c r="P1029" s="20"/>
    </row>
    <row r="1030" customFormat="false" ht="14.25" hidden="false" customHeight="true" outlineLevel="0" collapsed="false">
      <c r="A1030" s="3" t="s">
        <v>1259</v>
      </c>
      <c r="B1030" s="3" t="s">
        <v>1260</v>
      </c>
      <c r="C1030" s="3" t="n">
        <v>224011</v>
      </c>
      <c r="D1030" s="3" t="s">
        <v>1279</v>
      </c>
      <c r="E1030" s="18" t="n">
        <v>45253</v>
      </c>
      <c r="F1030" s="3" t="s">
        <v>1262</v>
      </c>
      <c r="G1030" s="3" t="s">
        <v>5</v>
      </c>
      <c r="H1030" s="19"/>
      <c r="I1030" s="19"/>
      <c r="J1030" s="20"/>
      <c r="K1030" s="20"/>
      <c r="L1030" s="19"/>
      <c r="M1030" s="19"/>
      <c r="N1030" s="19"/>
      <c r="O1030" s="20"/>
      <c r="P1030" s="20"/>
    </row>
    <row r="1031" customFormat="false" ht="14.25" hidden="false" customHeight="true" outlineLevel="0" collapsed="false">
      <c r="A1031" s="3" t="s">
        <v>1259</v>
      </c>
      <c r="B1031" s="3" t="s">
        <v>1260</v>
      </c>
      <c r="C1031" s="3" t="n">
        <v>224011</v>
      </c>
      <c r="D1031" s="3" t="s">
        <v>1281</v>
      </c>
      <c r="E1031" s="18" t="n">
        <v>45267</v>
      </c>
      <c r="F1031" s="3" t="s">
        <v>1262</v>
      </c>
      <c r="G1031" s="3" t="s">
        <v>5</v>
      </c>
      <c r="H1031" s="19"/>
      <c r="I1031" s="19"/>
      <c r="J1031" s="20"/>
      <c r="K1031" s="20"/>
      <c r="L1031" s="19"/>
      <c r="M1031" s="19"/>
      <c r="N1031" s="19"/>
      <c r="O1031" s="20"/>
      <c r="P1031" s="20"/>
    </row>
    <row r="1032" customFormat="false" ht="14.25" hidden="false" customHeight="true" outlineLevel="0" collapsed="false">
      <c r="A1032" s="3" t="s">
        <v>1259</v>
      </c>
      <c r="B1032" s="3" t="s">
        <v>1260</v>
      </c>
      <c r="C1032" s="3" t="n">
        <v>224011</v>
      </c>
      <c r="D1032" s="3" t="s">
        <v>1282</v>
      </c>
      <c r="E1032" s="18" t="n">
        <v>45281</v>
      </c>
      <c r="F1032" s="3" t="s">
        <v>1262</v>
      </c>
      <c r="G1032" s="3" t="s">
        <v>5</v>
      </c>
      <c r="H1032" s="19"/>
      <c r="I1032" s="19"/>
      <c r="J1032" s="20"/>
      <c r="K1032" s="20"/>
      <c r="L1032" s="19"/>
      <c r="M1032" s="19"/>
      <c r="N1032" s="19"/>
      <c r="O1032" s="20"/>
      <c r="P1032" s="20"/>
    </row>
    <row r="1033" customFormat="false" ht="14.25" hidden="false" customHeight="true" outlineLevel="0" collapsed="false">
      <c r="A1033" s="3" t="s">
        <v>1259</v>
      </c>
      <c r="B1033" s="3" t="s">
        <v>1260</v>
      </c>
      <c r="C1033" s="3" t="n">
        <v>224011</v>
      </c>
      <c r="D1033" s="3" t="s">
        <v>1472</v>
      </c>
      <c r="E1033" s="18" t="n">
        <v>45281</v>
      </c>
      <c r="F1033" s="3" t="s">
        <v>1262</v>
      </c>
      <c r="G1033" s="3" t="s">
        <v>1275</v>
      </c>
      <c r="H1033" s="19"/>
      <c r="I1033" s="19"/>
      <c r="J1033" s="20"/>
      <c r="K1033" s="20"/>
      <c r="L1033" s="19"/>
      <c r="M1033" s="19"/>
      <c r="N1033" s="19"/>
      <c r="O1033" s="20"/>
      <c r="P1033" s="20"/>
    </row>
    <row r="1034" customFormat="false" ht="14.25" hidden="false" customHeight="true" outlineLevel="0" collapsed="false">
      <c r="A1034" s="3" t="s">
        <v>1259</v>
      </c>
      <c r="B1034" s="3" t="s">
        <v>1260</v>
      </c>
      <c r="C1034" s="3" t="n">
        <v>224011</v>
      </c>
      <c r="D1034" s="3" t="s">
        <v>1283</v>
      </c>
      <c r="E1034" s="18" t="n">
        <v>45295</v>
      </c>
      <c r="F1034" s="3" t="s">
        <v>1262</v>
      </c>
      <c r="G1034" s="3" t="s">
        <v>5</v>
      </c>
      <c r="H1034" s="19"/>
      <c r="I1034" s="19"/>
      <c r="J1034" s="20"/>
      <c r="K1034" s="20"/>
      <c r="L1034" s="19"/>
      <c r="M1034" s="19"/>
      <c r="N1034" s="19"/>
      <c r="O1034" s="20"/>
      <c r="P1034" s="20"/>
    </row>
    <row r="1035" customFormat="false" ht="14.25" hidden="false" customHeight="true" outlineLevel="0" collapsed="false">
      <c r="A1035" s="3" t="s">
        <v>1259</v>
      </c>
      <c r="B1035" s="3" t="s">
        <v>1260</v>
      </c>
      <c r="C1035" s="3" t="n">
        <v>224011</v>
      </c>
      <c r="D1035" s="3" t="s">
        <v>1284</v>
      </c>
      <c r="E1035" s="18" t="n">
        <v>45309</v>
      </c>
      <c r="F1035" s="3" t="s">
        <v>1262</v>
      </c>
      <c r="G1035" s="3" t="s">
        <v>5</v>
      </c>
      <c r="H1035" s="19"/>
      <c r="I1035" s="19"/>
      <c r="J1035" s="20"/>
      <c r="K1035" s="20"/>
      <c r="L1035" s="19"/>
      <c r="M1035" s="19"/>
      <c r="N1035" s="19"/>
      <c r="O1035" s="20"/>
      <c r="P1035" s="20"/>
    </row>
    <row r="1036" customFormat="false" ht="14.25" hidden="false" customHeight="true" outlineLevel="0" collapsed="false">
      <c r="A1036" s="3" t="s">
        <v>1259</v>
      </c>
      <c r="B1036" s="3" t="s">
        <v>1260</v>
      </c>
      <c r="C1036" s="3" t="n">
        <v>224011</v>
      </c>
      <c r="D1036" s="3" t="s">
        <v>1321</v>
      </c>
      <c r="E1036" s="18" t="n">
        <v>45316</v>
      </c>
      <c r="F1036" s="3" t="s">
        <v>1262</v>
      </c>
      <c r="G1036" s="3" t="s">
        <v>1275</v>
      </c>
      <c r="H1036" s="19"/>
      <c r="I1036" s="19"/>
      <c r="J1036" s="20"/>
      <c r="K1036" s="20"/>
      <c r="L1036" s="19"/>
      <c r="M1036" s="19"/>
      <c r="N1036" s="19"/>
      <c r="O1036" s="20"/>
      <c r="P1036" s="20"/>
    </row>
    <row r="1037" customFormat="false" ht="14.25" hidden="false" customHeight="true" outlineLevel="0" collapsed="false">
      <c r="A1037" s="3" t="s">
        <v>1259</v>
      </c>
      <c r="B1037" s="3" t="s">
        <v>1260</v>
      </c>
      <c r="C1037" s="3" t="n">
        <v>224011</v>
      </c>
      <c r="D1037" s="3" t="s">
        <v>1286</v>
      </c>
      <c r="E1037" s="18" t="n">
        <v>45323</v>
      </c>
      <c r="F1037" s="3" t="s">
        <v>1262</v>
      </c>
      <c r="G1037" s="3" t="s">
        <v>5</v>
      </c>
      <c r="H1037" s="19"/>
      <c r="I1037" s="19"/>
      <c r="J1037" s="20"/>
      <c r="K1037" s="20"/>
      <c r="L1037" s="19"/>
      <c r="M1037" s="19"/>
      <c r="N1037" s="19"/>
      <c r="O1037" s="20"/>
      <c r="P1037" s="20"/>
    </row>
    <row r="1038" customFormat="false" ht="14.25" hidden="false" customHeight="true" outlineLevel="0" collapsed="false">
      <c r="A1038" s="3" t="s">
        <v>1259</v>
      </c>
      <c r="B1038" s="3" t="s">
        <v>1260</v>
      </c>
      <c r="C1038" s="3" t="n">
        <v>224011</v>
      </c>
      <c r="D1038" s="3" t="s">
        <v>1287</v>
      </c>
      <c r="E1038" s="18" t="n">
        <v>45337</v>
      </c>
      <c r="F1038" s="3" t="s">
        <v>1262</v>
      </c>
      <c r="G1038" s="3" t="s">
        <v>5</v>
      </c>
      <c r="H1038" s="19"/>
      <c r="I1038" s="19"/>
      <c r="J1038" s="20"/>
      <c r="K1038" s="20"/>
      <c r="L1038" s="19"/>
      <c r="M1038" s="19"/>
      <c r="N1038" s="19"/>
      <c r="O1038" s="20"/>
      <c r="P1038" s="20"/>
    </row>
    <row r="1039" customFormat="false" ht="14.25" hidden="false" customHeight="true" outlineLevel="0" collapsed="false">
      <c r="A1039" s="3" t="s">
        <v>1259</v>
      </c>
      <c r="B1039" s="3" t="s">
        <v>1260</v>
      </c>
      <c r="C1039" s="3" t="n">
        <v>224011</v>
      </c>
      <c r="D1039" s="3" t="s">
        <v>1288</v>
      </c>
      <c r="E1039" s="18" t="n">
        <v>45351</v>
      </c>
      <c r="F1039" s="3" t="s">
        <v>1262</v>
      </c>
      <c r="G1039" s="3" t="s">
        <v>5</v>
      </c>
      <c r="H1039" s="19"/>
      <c r="I1039" s="19"/>
      <c r="J1039" s="20"/>
      <c r="K1039" s="20"/>
      <c r="L1039" s="19"/>
      <c r="M1039" s="19"/>
      <c r="N1039" s="19"/>
      <c r="O1039" s="20"/>
      <c r="P1039" s="20"/>
    </row>
    <row r="1040" customFormat="false" ht="14.25" hidden="false" customHeight="true" outlineLevel="0" collapsed="false">
      <c r="A1040" s="3" t="s">
        <v>1259</v>
      </c>
      <c r="B1040" s="3" t="s">
        <v>1260</v>
      </c>
      <c r="C1040" s="3" t="n">
        <v>224011</v>
      </c>
      <c r="D1040" s="3" t="s">
        <v>1392</v>
      </c>
      <c r="E1040" s="18" t="n">
        <v>45358</v>
      </c>
      <c r="F1040" s="3" t="s">
        <v>1262</v>
      </c>
      <c r="G1040" s="3" t="s">
        <v>1275</v>
      </c>
      <c r="H1040" s="19"/>
      <c r="I1040" s="19"/>
      <c r="J1040" s="20"/>
      <c r="K1040" s="20"/>
      <c r="L1040" s="19"/>
      <c r="M1040" s="19"/>
      <c r="N1040" s="19"/>
      <c r="O1040" s="20"/>
      <c r="P1040" s="20"/>
    </row>
    <row r="1041" customFormat="false" ht="14.25" hidden="false" customHeight="true" outlineLevel="0" collapsed="false">
      <c r="A1041" s="3" t="s">
        <v>1259</v>
      </c>
      <c r="B1041" s="3" t="s">
        <v>1260</v>
      </c>
      <c r="C1041" s="3" t="n">
        <v>224011</v>
      </c>
      <c r="D1041" s="3" t="s">
        <v>1289</v>
      </c>
      <c r="E1041" s="18" t="n">
        <v>45365</v>
      </c>
      <c r="F1041" s="3" t="s">
        <v>1262</v>
      </c>
      <c r="G1041" s="3" t="s">
        <v>5</v>
      </c>
      <c r="H1041" s="19"/>
      <c r="I1041" s="19"/>
      <c r="J1041" s="20"/>
      <c r="K1041" s="20"/>
      <c r="L1041" s="19"/>
      <c r="M1041" s="19"/>
      <c r="N1041" s="19"/>
      <c r="O1041" s="20"/>
      <c r="P1041" s="20"/>
    </row>
    <row r="1042" customFormat="false" ht="14.25" hidden="false" customHeight="true" outlineLevel="0" collapsed="false">
      <c r="A1042" s="3" t="s">
        <v>1259</v>
      </c>
      <c r="B1042" s="3" t="s">
        <v>1260</v>
      </c>
      <c r="C1042" s="3" t="n">
        <v>224011</v>
      </c>
      <c r="D1042" s="3" t="s">
        <v>1290</v>
      </c>
      <c r="E1042" s="18" t="n">
        <v>45379</v>
      </c>
      <c r="F1042" s="3" t="s">
        <v>1262</v>
      </c>
      <c r="G1042" s="3" t="s">
        <v>5</v>
      </c>
      <c r="H1042" s="19"/>
      <c r="I1042" s="19"/>
      <c r="J1042" s="20"/>
      <c r="K1042" s="20"/>
      <c r="L1042" s="19"/>
      <c r="M1042" s="19"/>
      <c r="N1042" s="19"/>
      <c r="O1042" s="20"/>
      <c r="P1042" s="20"/>
    </row>
    <row r="1043" customFormat="false" ht="14.25" hidden="false" customHeight="true" outlineLevel="0" collapsed="false">
      <c r="A1043" s="3" t="s">
        <v>1259</v>
      </c>
      <c r="B1043" s="3" t="s">
        <v>1260</v>
      </c>
      <c r="C1043" s="3" t="n">
        <v>224011</v>
      </c>
      <c r="D1043" s="3" t="s">
        <v>1292</v>
      </c>
      <c r="E1043" s="18" t="n">
        <v>45393</v>
      </c>
      <c r="F1043" s="3" t="s">
        <v>1262</v>
      </c>
      <c r="G1043" s="3" t="s">
        <v>5</v>
      </c>
      <c r="H1043" s="19"/>
      <c r="I1043" s="19"/>
      <c r="J1043" s="20"/>
      <c r="K1043" s="20"/>
      <c r="L1043" s="19"/>
      <c r="M1043" s="19"/>
      <c r="N1043" s="19"/>
      <c r="O1043" s="20"/>
      <c r="P1043" s="20"/>
    </row>
    <row r="1044" customFormat="false" ht="14.25" hidden="false" customHeight="true" outlineLevel="0" collapsed="false">
      <c r="A1044" s="3" t="s">
        <v>1259</v>
      </c>
      <c r="B1044" s="3" t="s">
        <v>1260</v>
      </c>
      <c r="C1044" s="3" t="n">
        <v>224011</v>
      </c>
      <c r="D1044" s="3" t="s">
        <v>1293</v>
      </c>
      <c r="E1044" s="18" t="n">
        <v>45407</v>
      </c>
      <c r="F1044" s="3" t="s">
        <v>1262</v>
      </c>
      <c r="G1044" s="3" t="s">
        <v>5</v>
      </c>
      <c r="H1044" s="19"/>
      <c r="I1044" s="19"/>
      <c r="J1044" s="20"/>
      <c r="K1044" s="20"/>
      <c r="L1044" s="19"/>
      <c r="M1044" s="19"/>
      <c r="N1044" s="19"/>
      <c r="O1044" s="20"/>
      <c r="P1044" s="20"/>
    </row>
    <row r="1045" customFormat="false" ht="14.25" hidden="false" customHeight="true" outlineLevel="0" collapsed="false">
      <c r="A1045" s="3" t="s">
        <v>1259</v>
      </c>
      <c r="B1045" s="3" t="s">
        <v>1260</v>
      </c>
      <c r="C1045" s="3" t="n">
        <v>224011</v>
      </c>
      <c r="D1045" s="3" t="s">
        <v>1478</v>
      </c>
      <c r="E1045" s="18" t="n">
        <v>45407</v>
      </c>
      <c r="F1045" s="3" t="s">
        <v>1262</v>
      </c>
      <c r="G1045" s="3" t="s">
        <v>1275</v>
      </c>
      <c r="H1045" s="19"/>
      <c r="I1045" s="19"/>
      <c r="J1045" s="20"/>
      <c r="K1045" s="20"/>
      <c r="L1045" s="19"/>
      <c r="M1045" s="19"/>
      <c r="N1045" s="19"/>
      <c r="O1045" s="20"/>
      <c r="P1045" s="20"/>
    </row>
    <row r="1046" customFormat="false" ht="14.25" hidden="false" customHeight="true" outlineLevel="0" collapsed="false">
      <c r="A1046" s="3" t="s">
        <v>1259</v>
      </c>
      <c r="B1046" s="3" t="s">
        <v>1260</v>
      </c>
      <c r="C1046" s="3" t="n">
        <v>224012</v>
      </c>
      <c r="D1046" s="3" t="s">
        <v>1261</v>
      </c>
      <c r="E1046" s="18" t="n">
        <v>45141</v>
      </c>
      <c r="F1046" s="3" t="s">
        <v>1262</v>
      </c>
      <c r="G1046" s="3" t="s">
        <v>5</v>
      </c>
      <c r="H1046" s="19" t="n">
        <v>45141</v>
      </c>
      <c r="I1046" s="19" t="n">
        <v>45054</v>
      </c>
      <c r="J1046" s="20" t="n">
        <v>62</v>
      </c>
      <c r="K1046" s="20" t="s">
        <v>1263</v>
      </c>
      <c r="L1046" s="19" t="s">
        <v>12</v>
      </c>
      <c r="M1046" s="19"/>
      <c r="N1046" s="19"/>
      <c r="O1046" s="20"/>
      <c r="P1046" s="20"/>
    </row>
    <row r="1047" customFormat="false" ht="14.25" hidden="false" customHeight="true" outlineLevel="0" collapsed="false">
      <c r="A1047" s="3" t="s">
        <v>1259</v>
      </c>
      <c r="B1047" s="3" t="s">
        <v>1260</v>
      </c>
      <c r="C1047" s="3" t="n">
        <v>224012</v>
      </c>
      <c r="D1047" s="3" t="s">
        <v>1264</v>
      </c>
      <c r="E1047" s="18" t="n">
        <v>45156</v>
      </c>
      <c r="F1047" s="3" t="s">
        <v>1262</v>
      </c>
      <c r="G1047" s="3" t="s">
        <v>5</v>
      </c>
      <c r="H1047" s="19"/>
      <c r="I1047" s="19"/>
      <c r="J1047" s="20"/>
      <c r="K1047" s="20"/>
      <c r="L1047" s="19"/>
      <c r="M1047" s="19"/>
      <c r="N1047" s="19"/>
      <c r="O1047" s="20"/>
      <c r="P1047" s="20"/>
    </row>
    <row r="1048" customFormat="false" ht="14.25" hidden="false" customHeight="true" outlineLevel="0" collapsed="false">
      <c r="A1048" s="3" t="s">
        <v>1259</v>
      </c>
      <c r="B1048" s="3" t="s">
        <v>1260</v>
      </c>
      <c r="C1048" s="3" t="n">
        <v>224012</v>
      </c>
      <c r="D1048" s="3" t="s">
        <v>1269</v>
      </c>
      <c r="E1048" s="18" t="n">
        <v>45169</v>
      </c>
      <c r="F1048" s="3" t="s">
        <v>1262</v>
      </c>
      <c r="G1048" s="3" t="s">
        <v>5</v>
      </c>
      <c r="H1048" s="19"/>
      <c r="I1048" s="19"/>
      <c r="J1048" s="20"/>
      <c r="K1048" s="20"/>
      <c r="L1048" s="19"/>
      <c r="M1048" s="19"/>
      <c r="N1048" s="19"/>
      <c r="O1048" s="20"/>
      <c r="P1048" s="20"/>
    </row>
    <row r="1049" customFormat="false" ht="14.25" hidden="false" customHeight="true" outlineLevel="0" collapsed="false">
      <c r="A1049" s="3" t="s">
        <v>1259</v>
      </c>
      <c r="B1049" s="3" t="s">
        <v>1260</v>
      </c>
      <c r="C1049" s="3" t="n">
        <v>224012</v>
      </c>
      <c r="D1049" s="3" t="s">
        <v>1271</v>
      </c>
      <c r="E1049" s="18" t="n">
        <v>45183</v>
      </c>
      <c r="F1049" s="3" t="s">
        <v>1262</v>
      </c>
      <c r="G1049" s="3" t="s">
        <v>5</v>
      </c>
      <c r="H1049" s="19"/>
      <c r="I1049" s="19"/>
      <c r="J1049" s="20"/>
      <c r="K1049" s="20"/>
      <c r="L1049" s="19"/>
      <c r="M1049" s="19"/>
      <c r="N1049" s="19"/>
      <c r="O1049" s="20"/>
      <c r="P1049" s="20"/>
    </row>
    <row r="1050" customFormat="false" ht="14.25" hidden="false" customHeight="true" outlineLevel="0" collapsed="false">
      <c r="A1050" s="3" t="s">
        <v>1259</v>
      </c>
      <c r="B1050" s="3" t="s">
        <v>1260</v>
      </c>
      <c r="C1050" s="3" t="n">
        <v>224012</v>
      </c>
      <c r="D1050" s="3" t="s">
        <v>1273</v>
      </c>
      <c r="E1050" s="18" t="n">
        <v>45196</v>
      </c>
      <c r="F1050" s="3" t="s">
        <v>1262</v>
      </c>
      <c r="G1050" s="3" t="s">
        <v>5</v>
      </c>
      <c r="H1050" s="19"/>
      <c r="I1050" s="19"/>
      <c r="J1050" s="20"/>
      <c r="K1050" s="20"/>
      <c r="L1050" s="19"/>
      <c r="M1050" s="19"/>
      <c r="N1050" s="19"/>
      <c r="O1050" s="20"/>
      <c r="P1050" s="20"/>
    </row>
    <row r="1051" customFormat="false" ht="14.25" hidden="false" customHeight="true" outlineLevel="0" collapsed="false">
      <c r="A1051" s="3" t="s">
        <v>1259</v>
      </c>
      <c r="B1051" s="3" t="s">
        <v>1260</v>
      </c>
      <c r="C1051" s="3" t="n">
        <v>224012</v>
      </c>
      <c r="D1051" s="3" t="s">
        <v>1319</v>
      </c>
      <c r="E1051" s="18" t="n">
        <v>45204</v>
      </c>
      <c r="F1051" s="3" t="s">
        <v>1262</v>
      </c>
      <c r="G1051" s="3" t="s">
        <v>1275</v>
      </c>
      <c r="H1051" s="19"/>
      <c r="I1051" s="19"/>
      <c r="J1051" s="20"/>
      <c r="K1051" s="20"/>
      <c r="L1051" s="19"/>
      <c r="M1051" s="19"/>
      <c r="N1051" s="19"/>
      <c r="O1051" s="20"/>
      <c r="P1051" s="20"/>
    </row>
    <row r="1052" customFormat="false" ht="14.25" hidden="false" customHeight="true" outlineLevel="0" collapsed="false">
      <c r="A1052" s="3" t="s">
        <v>1259</v>
      </c>
      <c r="B1052" s="3" t="s">
        <v>1260</v>
      </c>
      <c r="C1052" s="3" t="n">
        <v>224012</v>
      </c>
      <c r="D1052" s="3" t="s">
        <v>1276</v>
      </c>
      <c r="E1052" s="18" t="n">
        <v>45211</v>
      </c>
      <c r="F1052" s="3" t="s">
        <v>1262</v>
      </c>
      <c r="G1052" s="3" t="s">
        <v>5</v>
      </c>
      <c r="H1052" s="19"/>
      <c r="I1052" s="19"/>
      <c r="J1052" s="20"/>
      <c r="K1052" s="20"/>
      <c r="L1052" s="19"/>
      <c r="M1052" s="19"/>
      <c r="N1052" s="19"/>
      <c r="O1052" s="20"/>
      <c r="P1052" s="20"/>
    </row>
    <row r="1053" customFormat="false" ht="14.25" hidden="false" customHeight="true" outlineLevel="0" collapsed="false">
      <c r="A1053" s="3" t="s">
        <v>1259</v>
      </c>
      <c r="B1053" s="3" t="s">
        <v>1260</v>
      </c>
      <c r="C1053" s="3" t="n">
        <v>224012</v>
      </c>
      <c r="D1053" s="3" t="s">
        <v>1277</v>
      </c>
      <c r="E1053" s="18" t="n">
        <v>45225</v>
      </c>
      <c r="F1053" s="3" t="s">
        <v>1262</v>
      </c>
      <c r="G1053" s="3" t="s">
        <v>5</v>
      </c>
      <c r="H1053" s="19"/>
      <c r="I1053" s="19"/>
      <c r="J1053" s="20"/>
      <c r="K1053" s="20"/>
      <c r="L1053" s="19"/>
      <c r="M1053" s="19"/>
      <c r="N1053" s="19"/>
      <c r="O1053" s="20"/>
      <c r="P1053" s="20"/>
    </row>
    <row r="1054" customFormat="false" ht="14.25" hidden="false" customHeight="true" outlineLevel="0" collapsed="false">
      <c r="A1054" s="3" t="s">
        <v>1259</v>
      </c>
      <c r="B1054" s="3" t="s">
        <v>1260</v>
      </c>
      <c r="C1054" s="3" t="n">
        <v>224012</v>
      </c>
      <c r="D1054" s="3" t="s">
        <v>1278</v>
      </c>
      <c r="E1054" s="18" t="n">
        <v>45239</v>
      </c>
      <c r="F1054" s="3" t="s">
        <v>1262</v>
      </c>
      <c r="G1054" s="3" t="s">
        <v>5</v>
      </c>
      <c r="H1054" s="19"/>
      <c r="I1054" s="19"/>
      <c r="J1054" s="20"/>
      <c r="K1054" s="20"/>
      <c r="L1054" s="19"/>
      <c r="M1054" s="19"/>
      <c r="N1054" s="19"/>
      <c r="O1054" s="20"/>
      <c r="P1054" s="20"/>
    </row>
    <row r="1055" customFormat="false" ht="14.25" hidden="false" customHeight="true" outlineLevel="0" collapsed="false">
      <c r="A1055" s="3" t="s">
        <v>1259</v>
      </c>
      <c r="B1055" s="3" t="s">
        <v>1260</v>
      </c>
      <c r="C1055" s="3" t="n">
        <v>224012</v>
      </c>
      <c r="D1055" s="3" t="s">
        <v>1431</v>
      </c>
      <c r="E1055" s="18" t="n">
        <v>45239</v>
      </c>
      <c r="F1055" s="3" t="s">
        <v>1262</v>
      </c>
      <c r="G1055" s="3" t="s">
        <v>1275</v>
      </c>
      <c r="H1055" s="19"/>
      <c r="I1055" s="19"/>
      <c r="J1055" s="20"/>
      <c r="K1055" s="20"/>
      <c r="L1055" s="19"/>
      <c r="M1055" s="19"/>
      <c r="N1055" s="19"/>
      <c r="O1055" s="20"/>
      <c r="P1055" s="20"/>
    </row>
    <row r="1056" customFormat="false" ht="14.25" hidden="false" customHeight="true" outlineLevel="0" collapsed="false">
      <c r="A1056" s="3" t="s">
        <v>1259</v>
      </c>
      <c r="B1056" s="3" t="s">
        <v>1260</v>
      </c>
      <c r="C1056" s="3" t="n">
        <v>224012</v>
      </c>
      <c r="D1056" s="3" t="s">
        <v>1279</v>
      </c>
      <c r="E1056" s="18" t="n">
        <v>45253</v>
      </c>
      <c r="F1056" s="3" t="s">
        <v>1262</v>
      </c>
      <c r="G1056" s="3" t="s">
        <v>5</v>
      </c>
      <c r="H1056" s="19"/>
      <c r="I1056" s="19"/>
      <c r="J1056" s="20"/>
      <c r="K1056" s="20"/>
      <c r="L1056" s="19"/>
      <c r="M1056" s="19"/>
      <c r="N1056" s="19"/>
      <c r="O1056" s="20"/>
      <c r="P1056" s="20"/>
    </row>
    <row r="1057" customFormat="false" ht="14.25" hidden="false" customHeight="true" outlineLevel="0" collapsed="false">
      <c r="A1057" s="3" t="s">
        <v>1259</v>
      </c>
      <c r="B1057" s="3" t="s">
        <v>1260</v>
      </c>
      <c r="C1057" s="3" t="n">
        <v>224012</v>
      </c>
      <c r="D1057" s="3" t="s">
        <v>1281</v>
      </c>
      <c r="E1057" s="18" t="n">
        <v>45267</v>
      </c>
      <c r="F1057" s="3" t="s">
        <v>1262</v>
      </c>
      <c r="G1057" s="3" t="s">
        <v>5</v>
      </c>
      <c r="H1057" s="19"/>
      <c r="I1057" s="19"/>
      <c r="J1057" s="20"/>
      <c r="K1057" s="20"/>
      <c r="L1057" s="19"/>
      <c r="M1057" s="19"/>
      <c r="N1057" s="19"/>
      <c r="O1057" s="20"/>
      <c r="P1057" s="20"/>
    </row>
    <row r="1058" customFormat="false" ht="14.25" hidden="false" customHeight="true" outlineLevel="0" collapsed="false">
      <c r="A1058" s="3" t="s">
        <v>1259</v>
      </c>
      <c r="B1058" s="3" t="s">
        <v>1260</v>
      </c>
      <c r="C1058" s="3" t="n">
        <v>224012</v>
      </c>
      <c r="D1058" s="3" t="s">
        <v>1282</v>
      </c>
      <c r="E1058" s="18" t="n">
        <v>45281</v>
      </c>
      <c r="F1058" s="3" t="s">
        <v>1262</v>
      </c>
      <c r="G1058" s="3" t="s">
        <v>5</v>
      </c>
      <c r="H1058" s="19"/>
      <c r="I1058" s="19"/>
      <c r="J1058" s="20"/>
      <c r="K1058" s="20"/>
      <c r="L1058" s="19"/>
      <c r="M1058" s="19"/>
      <c r="N1058" s="19"/>
      <c r="O1058" s="20"/>
      <c r="P1058" s="20"/>
    </row>
    <row r="1059" customFormat="false" ht="14.25" hidden="false" customHeight="true" outlineLevel="0" collapsed="false">
      <c r="A1059" s="3" t="s">
        <v>1259</v>
      </c>
      <c r="B1059" s="3" t="s">
        <v>1260</v>
      </c>
      <c r="C1059" s="3" t="n">
        <v>224012</v>
      </c>
      <c r="D1059" s="3" t="s">
        <v>1472</v>
      </c>
      <c r="E1059" s="18" t="n">
        <v>45281</v>
      </c>
      <c r="F1059" s="3" t="s">
        <v>1262</v>
      </c>
      <c r="G1059" s="3" t="s">
        <v>1275</v>
      </c>
      <c r="H1059" s="19"/>
      <c r="I1059" s="19"/>
      <c r="J1059" s="20"/>
      <c r="K1059" s="20"/>
      <c r="L1059" s="19"/>
      <c r="M1059" s="19"/>
      <c r="N1059" s="19"/>
      <c r="O1059" s="20"/>
      <c r="P1059" s="20"/>
    </row>
    <row r="1060" customFormat="false" ht="14.25" hidden="false" customHeight="true" outlineLevel="0" collapsed="false">
      <c r="A1060" s="3" t="s">
        <v>1259</v>
      </c>
      <c r="B1060" s="3" t="s">
        <v>1260</v>
      </c>
      <c r="C1060" s="3" t="n">
        <v>224012</v>
      </c>
      <c r="D1060" s="3" t="s">
        <v>1283</v>
      </c>
      <c r="E1060" s="18" t="n">
        <v>45295</v>
      </c>
      <c r="F1060" s="3" t="s">
        <v>1262</v>
      </c>
      <c r="G1060" s="3" t="s">
        <v>5</v>
      </c>
      <c r="H1060" s="19"/>
      <c r="I1060" s="19"/>
      <c r="J1060" s="20"/>
      <c r="K1060" s="20"/>
      <c r="L1060" s="19"/>
      <c r="M1060" s="19"/>
      <c r="N1060" s="19"/>
      <c r="O1060" s="20"/>
      <c r="P1060" s="20"/>
    </row>
    <row r="1061" customFormat="false" ht="14.25" hidden="false" customHeight="true" outlineLevel="0" collapsed="false">
      <c r="A1061" s="3" t="s">
        <v>1259</v>
      </c>
      <c r="B1061" s="3" t="s">
        <v>1260</v>
      </c>
      <c r="C1061" s="3" t="n">
        <v>224012</v>
      </c>
      <c r="D1061" s="3" t="s">
        <v>1284</v>
      </c>
      <c r="E1061" s="18" t="n">
        <v>45313</v>
      </c>
      <c r="F1061" s="3" t="s">
        <v>1262</v>
      </c>
      <c r="G1061" s="3" t="s">
        <v>5</v>
      </c>
      <c r="H1061" s="19"/>
      <c r="I1061" s="19"/>
      <c r="J1061" s="20"/>
      <c r="K1061" s="20"/>
      <c r="L1061" s="19"/>
      <c r="M1061" s="19"/>
      <c r="N1061" s="19"/>
      <c r="O1061" s="20"/>
      <c r="P1061" s="20"/>
    </row>
    <row r="1062" customFormat="false" ht="14.25" hidden="false" customHeight="true" outlineLevel="0" collapsed="false">
      <c r="A1062" s="3" t="s">
        <v>1259</v>
      </c>
      <c r="B1062" s="3" t="s">
        <v>1260</v>
      </c>
      <c r="C1062" s="3" t="n">
        <v>224012</v>
      </c>
      <c r="D1062" s="3" t="s">
        <v>1286</v>
      </c>
      <c r="E1062" s="18" t="n">
        <v>45323</v>
      </c>
      <c r="F1062" s="3" t="s">
        <v>1262</v>
      </c>
      <c r="G1062" s="3" t="s">
        <v>5</v>
      </c>
      <c r="H1062" s="19"/>
      <c r="I1062" s="19"/>
      <c r="J1062" s="20"/>
      <c r="K1062" s="20"/>
      <c r="L1062" s="19"/>
      <c r="M1062" s="19"/>
      <c r="N1062" s="19"/>
      <c r="O1062" s="20"/>
      <c r="P1062" s="20"/>
    </row>
    <row r="1063" customFormat="false" ht="14.25" hidden="false" customHeight="true" outlineLevel="0" collapsed="false">
      <c r="A1063" s="3" t="s">
        <v>1259</v>
      </c>
      <c r="B1063" s="3" t="s">
        <v>1260</v>
      </c>
      <c r="C1063" s="3" t="n">
        <v>224012</v>
      </c>
      <c r="D1063" s="3" t="s">
        <v>1479</v>
      </c>
      <c r="E1063" s="18" t="n">
        <v>45323</v>
      </c>
      <c r="F1063" s="3" t="s">
        <v>1262</v>
      </c>
      <c r="G1063" s="3" t="s">
        <v>1275</v>
      </c>
      <c r="H1063" s="19"/>
      <c r="I1063" s="19"/>
      <c r="J1063" s="20"/>
      <c r="K1063" s="20"/>
      <c r="L1063" s="19"/>
      <c r="M1063" s="19"/>
      <c r="N1063" s="19"/>
      <c r="O1063" s="20"/>
      <c r="P1063" s="20"/>
    </row>
    <row r="1064" customFormat="false" ht="14.25" hidden="false" customHeight="true" outlineLevel="0" collapsed="false">
      <c r="A1064" s="3" t="s">
        <v>1259</v>
      </c>
      <c r="B1064" s="3" t="s">
        <v>1260</v>
      </c>
      <c r="C1064" s="3" t="n">
        <v>224012</v>
      </c>
      <c r="D1064" s="3" t="s">
        <v>1287</v>
      </c>
      <c r="E1064" s="18" t="n">
        <v>45337</v>
      </c>
      <c r="F1064" s="3" t="s">
        <v>1262</v>
      </c>
      <c r="G1064" s="3" t="s">
        <v>5</v>
      </c>
      <c r="H1064" s="19"/>
      <c r="I1064" s="19"/>
      <c r="J1064" s="20"/>
      <c r="K1064" s="20"/>
      <c r="L1064" s="19"/>
      <c r="M1064" s="19"/>
      <c r="N1064" s="19"/>
      <c r="O1064" s="20"/>
      <c r="P1064" s="20"/>
    </row>
    <row r="1065" customFormat="false" ht="14.25" hidden="false" customHeight="true" outlineLevel="0" collapsed="false">
      <c r="A1065" s="3" t="s">
        <v>1259</v>
      </c>
      <c r="B1065" s="3" t="s">
        <v>1260</v>
      </c>
      <c r="C1065" s="3" t="n">
        <v>224012</v>
      </c>
      <c r="D1065" s="3" t="s">
        <v>1288</v>
      </c>
      <c r="E1065" s="18" t="n">
        <v>45351</v>
      </c>
      <c r="F1065" s="3" t="s">
        <v>1262</v>
      </c>
      <c r="G1065" s="3" t="s">
        <v>5</v>
      </c>
      <c r="H1065" s="19"/>
      <c r="I1065" s="19"/>
      <c r="J1065" s="20"/>
      <c r="K1065" s="20"/>
      <c r="L1065" s="19"/>
      <c r="M1065" s="19"/>
      <c r="N1065" s="19"/>
      <c r="O1065" s="20"/>
      <c r="P1065" s="20"/>
    </row>
    <row r="1066" customFormat="false" ht="14.25" hidden="false" customHeight="true" outlineLevel="0" collapsed="false">
      <c r="A1066" s="3" t="s">
        <v>1259</v>
      </c>
      <c r="B1066" s="3" t="s">
        <v>1260</v>
      </c>
      <c r="C1066" s="3" t="n">
        <v>224012</v>
      </c>
      <c r="D1066" s="3" t="s">
        <v>1289</v>
      </c>
      <c r="E1066" s="18" t="n">
        <v>45365</v>
      </c>
      <c r="F1066" s="3" t="s">
        <v>1262</v>
      </c>
      <c r="G1066" s="3" t="s">
        <v>5</v>
      </c>
      <c r="H1066" s="19"/>
      <c r="I1066" s="19"/>
      <c r="J1066" s="20"/>
      <c r="K1066" s="20"/>
      <c r="L1066" s="19"/>
      <c r="M1066" s="19"/>
      <c r="N1066" s="19"/>
      <c r="O1066" s="20"/>
      <c r="P1066" s="20"/>
    </row>
    <row r="1067" customFormat="false" ht="14.25" hidden="false" customHeight="true" outlineLevel="0" collapsed="false">
      <c r="A1067" s="3" t="s">
        <v>1259</v>
      </c>
      <c r="B1067" s="3" t="s">
        <v>1260</v>
      </c>
      <c r="C1067" s="3" t="n">
        <v>224012</v>
      </c>
      <c r="D1067" s="3" t="s">
        <v>1480</v>
      </c>
      <c r="E1067" s="18" t="n">
        <v>45365</v>
      </c>
      <c r="F1067" s="3" t="s">
        <v>1262</v>
      </c>
      <c r="G1067" s="3" t="s">
        <v>1275</v>
      </c>
      <c r="H1067" s="19"/>
      <c r="I1067" s="19"/>
      <c r="J1067" s="20"/>
      <c r="K1067" s="20"/>
      <c r="L1067" s="19"/>
      <c r="M1067" s="19"/>
      <c r="N1067" s="19"/>
      <c r="O1067" s="20"/>
      <c r="P1067" s="20"/>
    </row>
    <row r="1068" customFormat="false" ht="14.25" hidden="false" customHeight="true" outlineLevel="0" collapsed="false">
      <c r="A1068" s="3" t="s">
        <v>1259</v>
      </c>
      <c r="B1068" s="3" t="s">
        <v>1260</v>
      </c>
      <c r="C1068" s="3" t="n">
        <v>224012</v>
      </c>
      <c r="D1068" s="3" t="s">
        <v>1290</v>
      </c>
      <c r="E1068" s="18" t="n">
        <v>45379</v>
      </c>
      <c r="F1068" s="3" t="s">
        <v>1262</v>
      </c>
      <c r="G1068" s="3" t="s">
        <v>5</v>
      </c>
      <c r="H1068" s="19"/>
      <c r="I1068" s="19"/>
      <c r="J1068" s="20"/>
      <c r="K1068" s="20"/>
      <c r="L1068" s="19"/>
      <c r="M1068" s="19"/>
      <c r="N1068" s="19"/>
      <c r="O1068" s="20"/>
      <c r="P1068" s="20"/>
    </row>
    <row r="1069" customFormat="false" ht="14.25" hidden="false" customHeight="true" outlineLevel="0" collapsed="false">
      <c r="A1069" s="3" t="s">
        <v>1259</v>
      </c>
      <c r="B1069" s="3" t="s">
        <v>1260</v>
      </c>
      <c r="C1069" s="3" t="n">
        <v>224012</v>
      </c>
      <c r="D1069" s="3" t="s">
        <v>1292</v>
      </c>
      <c r="E1069" s="18" t="n">
        <v>45393</v>
      </c>
      <c r="F1069" s="3" t="s">
        <v>1262</v>
      </c>
      <c r="G1069" s="3" t="s">
        <v>5</v>
      </c>
      <c r="H1069" s="19"/>
      <c r="I1069" s="19"/>
      <c r="J1069" s="20"/>
      <c r="K1069" s="20"/>
      <c r="L1069" s="19"/>
      <c r="M1069" s="19"/>
      <c r="N1069" s="19"/>
      <c r="O1069" s="20"/>
      <c r="P1069" s="20"/>
    </row>
    <row r="1070" customFormat="false" ht="14.25" hidden="false" customHeight="true" outlineLevel="0" collapsed="false">
      <c r="A1070" s="3" t="s">
        <v>1259</v>
      </c>
      <c r="B1070" s="3" t="s">
        <v>1260</v>
      </c>
      <c r="C1070" s="3" t="n">
        <v>224012</v>
      </c>
      <c r="D1070" s="3" t="s">
        <v>1293</v>
      </c>
      <c r="E1070" s="18" t="n">
        <v>45406</v>
      </c>
      <c r="F1070" s="3" t="s">
        <v>1262</v>
      </c>
      <c r="G1070" s="3" t="s">
        <v>5</v>
      </c>
      <c r="H1070" s="19"/>
      <c r="I1070" s="19"/>
      <c r="J1070" s="20"/>
      <c r="K1070" s="20"/>
      <c r="L1070" s="19"/>
      <c r="M1070" s="19"/>
      <c r="N1070" s="19"/>
      <c r="O1070" s="20"/>
      <c r="P1070" s="20"/>
    </row>
    <row r="1071" customFormat="false" ht="14.25" hidden="false" customHeight="true" outlineLevel="0" collapsed="false">
      <c r="A1071" s="3" t="s">
        <v>1259</v>
      </c>
      <c r="B1071" s="3" t="s">
        <v>1260</v>
      </c>
      <c r="C1071" s="3" t="n">
        <v>224012</v>
      </c>
      <c r="D1071" s="3" t="s">
        <v>1294</v>
      </c>
      <c r="E1071" s="18" t="n">
        <v>45421</v>
      </c>
      <c r="F1071" s="3" t="s">
        <v>1262</v>
      </c>
      <c r="G1071" s="3" t="s">
        <v>5</v>
      </c>
      <c r="H1071" s="19"/>
      <c r="I1071" s="19"/>
      <c r="J1071" s="20"/>
      <c r="K1071" s="20"/>
      <c r="L1071" s="19"/>
      <c r="M1071" s="19"/>
      <c r="N1071" s="19"/>
      <c r="O1071" s="20"/>
      <c r="P1071" s="20"/>
    </row>
    <row r="1072" customFormat="false" ht="14.25" hidden="false" customHeight="true" outlineLevel="0" collapsed="false">
      <c r="A1072" s="3" t="s">
        <v>1259</v>
      </c>
      <c r="B1072" s="3" t="s">
        <v>1260</v>
      </c>
      <c r="C1072" s="3" t="n">
        <v>224012</v>
      </c>
      <c r="D1072" s="3" t="s">
        <v>1481</v>
      </c>
      <c r="F1072" s="3" t="s">
        <v>1262</v>
      </c>
      <c r="G1072" s="3" t="s">
        <v>1275</v>
      </c>
      <c r="H1072" s="19"/>
      <c r="I1072" s="19"/>
      <c r="J1072" s="20"/>
      <c r="K1072" s="20"/>
      <c r="L1072" s="19"/>
      <c r="M1072" s="19"/>
      <c r="N1072" s="19"/>
      <c r="O1072" s="20"/>
      <c r="P1072" s="20"/>
    </row>
    <row r="1073" customFormat="false" ht="14.25" hidden="false" customHeight="true" outlineLevel="0" collapsed="false">
      <c r="A1073" s="3" t="s">
        <v>1259</v>
      </c>
      <c r="B1073" s="3" t="s">
        <v>1260</v>
      </c>
      <c r="C1073" s="3" t="n">
        <v>224016</v>
      </c>
      <c r="D1073" s="3" t="s">
        <v>1261</v>
      </c>
      <c r="E1073" s="18" t="n">
        <v>45183</v>
      </c>
      <c r="F1073" s="3" t="s">
        <v>1262</v>
      </c>
      <c r="G1073" s="3" t="s">
        <v>5</v>
      </c>
      <c r="H1073" s="19" t="n">
        <v>45183</v>
      </c>
      <c r="I1073" s="19" t="n">
        <v>45054</v>
      </c>
      <c r="J1073" s="20" t="n">
        <v>68</v>
      </c>
      <c r="K1073" s="20" t="s">
        <v>1263</v>
      </c>
      <c r="L1073" s="19" t="s">
        <v>12</v>
      </c>
      <c r="M1073" s="19" t="s">
        <v>1334</v>
      </c>
      <c r="N1073" s="19" t="n">
        <v>45224</v>
      </c>
      <c r="O1073" s="20" t="s">
        <v>1354</v>
      </c>
      <c r="P1073" s="20"/>
    </row>
    <row r="1074" customFormat="false" ht="14.25" hidden="false" customHeight="true" outlineLevel="0" collapsed="false">
      <c r="A1074" s="3" t="s">
        <v>1259</v>
      </c>
      <c r="B1074" s="3" t="s">
        <v>1260</v>
      </c>
      <c r="C1074" s="3" t="n">
        <v>224016</v>
      </c>
      <c r="D1074" s="3" t="s">
        <v>1264</v>
      </c>
      <c r="E1074" s="18" t="n">
        <v>45195</v>
      </c>
      <c r="F1074" s="3" t="s">
        <v>1262</v>
      </c>
      <c r="G1074" s="3" t="s">
        <v>5</v>
      </c>
      <c r="H1074" s="19"/>
      <c r="I1074" s="19"/>
      <c r="J1074" s="20"/>
      <c r="K1074" s="20"/>
      <c r="L1074" s="19"/>
      <c r="M1074" s="19"/>
      <c r="N1074" s="19"/>
      <c r="O1074" s="20"/>
      <c r="P1074" s="20"/>
    </row>
    <row r="1075" customFormat="false" ht="14.25" hidden="false" customHeight="true" outlineLevel="0" collapsed="false">
      <c r="A1075" s="3" t="s">
        <v>1259</v>
      </c>
      <c r="B1075" s="3" t="s">
        <v>1260</v>
      </c>
      <c r="C1075" s="3" t="n">
        <v>224016</v>
      </c>
      <c r="D1075" s="3" t="s">
        <v>1269</v>
      </c>
      <c r="E1075" s="18" t="n">
        <v>45209</v>
      </c>
      <c r="F1075" s="3" t="s">
        <v>1262</v>
      </c>
      <c r="G1075" s="3" t="s">
        <v>5</v>
      </c>
      <c r="H1075" s="19"/>
      <c r="I1075" s="19"/>
      <c r="J1075" s="20"/>
      <c r="K1075" s="20"/>
      <c r="L1075" s="19"/>
      <c r="M1075" s="19"/>
      <c r="N1075" s="19"/>
      <c r="O1075" s="20"/>
      <c r="P1075" s="20"/>
    </row>
    <row r="1076" customFormat="false" ht="14.25" hidden="false" customHeight="true" outlineLevel="0" collapsed="false">
      <c r="A1076" s="3" t="s">
        <v>1259</v>
      </c>
      <c r="B1076" s="3" t="s">
        <v>1260</v>
      </c>
      <c r="C1076" s="3" t="n">
        <v>224016</v>
      </c>
      <c r="D1076" s="3" t="s">
        <v>1376</v>
      </c>
      <c r="F1076" s="3" t="s">
        <v>1262</v>
      </c>
      <c r="G1076" s="3" t="s">
        <v>5</v>
      </c>
      <c r="H1076" s="19"/>
      <c r="I1076" s="19"/>
      <c r="J1076" s="20"/>
      <c r="K1076" s="20"/>
      <c r="L1076" s="19"/>
      <c r="M1076" s="19"/>
      <c r="N1076" s="19"/>
      <c r="O1076" s="20"/>
      <c r="P1076" s="20"/>
    </row>
    <row r="1077" customFormat="false" ht="14.25" hidden="false" customHeight="true" outlineLevel="0" collapsed="false">
      <c r="A1077" s="3" t="s">
        <v>1259</v>
      </c>
      <c r="B1077" s="3" t="s">
        <v>1260</v>
      </c>
      <c r="C1077" s="3" t="n">
        <v>224018</v>
      </c>
      <c r="D1077" s="3" t="s">
        <v>1261</v>
      </c>
      <c r="E1077" s="18" t="n">
        <v>45212</v>
      </c>
      <c r="F1077" s="3" t="s">
        <v>1262</v>
      </c>
      <c r="G1077" s="3" t="s">
        <v>5</v>
      </c>
      <c r="H1077" s="19" t="n">
        <v>45212</v>
      </c>
      <c r="I1077" s="19" t="n">
        <v>45054</v>
      </c>
      <c r="J1077" s="20" t="n">
        <v>72</v>
      </c>
      <c r="K1077" s="20" t="s">
        <v>1263</v>
      </c>
      <c r="L1077" s="19" t="s">
        <v>12</v>
      </c>
      <c r="M1077" s="19" t="s">
        <v>1334</v>
      </c>
      <c r="N1077" s="19" t="n">
        <v>45394</v>
      </c>
      <c r="O1077" s="20" t="s">
        <v>1354</v>
      </c>
      <c r="P1077" s="20"/>
    </row>
    <row r="1078" customFormat="false" ht="14.25" hidden="false" customHeight="true" outlineLevel="0" collapsed="false">
      <c r="A1078" s="3" t="s">
        <v>1259</v>
      </c>
      <c r="B1078" s="3" t="s">
        <v>1260</v>
      </c>
      <c r="C1078" s="3" t="n">
        <v>224018</v>
      </c>
      <c r="D1078" s="3" t="s">
        <v>1264</v>
      </c>
      <c r="E1078" s="18" t="n">
        <v>45225</v>
      </c>
      <c r="F1078" s="3" t="s">
        <v>1262</v>
      </c>
      <c r="G1078" s="3" t="s">
        <v>5</v>
      </c>
      <c r="H1078" s="19"/>
      <c r="I1078" s="19"/>
      <c r="J1078" s="20"/>
      <c r="K1078" s="20"/>
      <c r="L1078" s="19"/>
      <c r="M1078" s="19"/>
      <c r="N1078" s="19"/>
      <c r="O1078" s="20"/>
      <c r="P1078" s="20"/>
    </row>
    <row r="1079" customFormat="false" ht="14.25" hidden="false" customHeight="true" outlineLevel="0" collapsed="false">
      <c r="A1079" s="3" t="s">
        <v>1259</v>
      </c>
      <c r="B1079" s="3" t="s">
        <v>1260</v>
      </c>
      <c r="C1079" s="3" t="n">
        <v>224018</v>
      </c>
      <c r="D1079" s="3" t="s">
        <v>1269</v>
      </c>
      <c r="E1079" s="18" t="n">
        <v>45239</v>
      </c>
      <c r="F1079" s="3" t="s">
        <v>1262</v>
      </c>
      <c r="G1079" s="3" t="s">
        <v>5</v>
      </c>
      <c r="H1079" s="19"/>
      <c r="I1079" s="19"/>
      <c r="J1079" s="20"/>
      <c r="K1079" s="20"/>
      <c r="L1079" s="19"/>
      <c r="M1079" s="19"/>
      <c r="N1079" s="19"/>
      <c r="O1079" s="20"/>
      <c r="P1079" s="20"/>
    </row>
    <row r="1080" customFormat="false" ht="14.25" hidden="false" customHeight="true" outlineLevel="0" collapsed="false">
      <c r="A1080" s="3" t="s">
        <v>1259</v>
      </c>
      <c r="B1080" s="3" t="s">
        <v>1260</v>
      </c>
      <c r="C1080" s="3" t="n">
        <v>224018</v>
      </c>
      <c r="D1080" s="3" t="s">
        <v>1271</v>
      </c>
      <c r="E1080" s="18" t="n">
        <v>45253</v>
      </c>
      <c r="F1080" s="3" t="s">
        <v>1262</v>
      </c>
      <c r="G1080" s="3" t="s">
        <v>5</v>
      </c>
      <c r="H1080" s="19"/>
      <c r="I1080" s="19"/>
      <c r="J1080" s="20"/>
      <c r="K1080" s="20"/>
      <c r="L1080" s="19"/>
      <c r="M1080" s="19"/>
      <c r="N1080" s="19"/>
      <c r="O1080" s="20"/>
      <c r="P1080" s="20"/>
    </row>
    <row r="1081" customFormat="false" ht="14.25" hidden="false" customHeight="true" outlineLevel="0" collapsed="false">
      <c r="A1081" s="3" t="s">
        <v>1259</v>
      </c>
      <c r="B1081" s="3" t="s">
        <v>1260</v>
      </c>
      <c r="C1081" s="3" t="n">
        <v>224018</v>
      </c>
      <c r="D1081" s="3" t="s">
        <v>1273</v>
      </c>
      <c r="E1081" s="18" t="n">
        <v>45267</v>
      </c>
      <c r="F1081" s="3" t="s">
        <v>1262</v>
      </c>
      <c r="G1081" s="3" t="s">
        <v>5</v>
      </c>
      <c r="H1081" s="19"/>
      <c r="I1081" s="19"/>
      <c r="J1081" s="20"/>
      <c r="K1081" s="20"/>
      <c r="L1081" s="19"/>
      <c r="M1081" s="19"/>
      <c r="N1081" s="19"/>
      <c r="O1081" s="20"/>
      <c r="P1081" s="20"/>
    </row>
    <row r="1082" customFormat="false" ht="14.25" hidden="false" customHeight="true" outlineLevel="0" collapsed="false">
      <c r="A1082" s="3" t="s">
        <v>1259</v>
      </c>
      <c r="B1082" s="3" t="s">
        <v>1260</v>
      </c>
      <c r="C1082" s="3" t="n">
        <v>224018</v>
      </c>
      <c r="D1082" s="3" t="s">
        <v>1482</v>
      </c>
      <c r="E1082" s="18" t="n">
        <v>45267</v>
      </c>
      <c r="F1082" s="3" t="s">
        <v>1262</v>
      </c>
      <c r="G1082" s="3" t="s">
        <v>1275</v>
      </c>
      <c r="H1082" s="19"/>
      <c r="I1082" s="19"/>
      <c r="J1082" s="20"/>
      <c r="K1082" s="20"/>
      <c r="L1082" s="19"/>
      <c r="M1082" s="19"/>
      <c r="N1082" s="19"/>
      <c r="O1082" s="20"/>
      <c r="P1082" s="20"/>
    </row>
    <row r="1083" customFormat="false" ht="14.25" hidden="false" customHeight="true" outlineLevel="0" collapsed="false">
      <c r="A1083" s="3" t="s">
        <v>1259</v>
      </c>
      <c r="B1083" s="3" t="s">
        <v>1260</v>
      </c>
      <c r="C1083" s="3" t="n">
        <v>224018</v>
      </c>
      <c r="D1083" s="3" t="s">
        <v>1276</v>
      </c>
      <c r="E1083" s="18" t="n">
        <v>45281</v>
      </c>
      <c r="F1083" s="3" t="s">
        <v>1262</v>
      </c>
      <c r="G1083" s="3" t="s">
        <v>5</v>
      </c>
      <c r="H1083" s="19"/>
      <c r="I1083" s="19"/>
      <c r="J1083" s="20"/>
      <c r="K1083" s="20"/>
      <c r="L1083" s="19"/>
      <c r="M1083" s="19"/>
      <c r="N1083" s="19"/>
      <c r="O1083" s="20"/>
      <c r="P1083" s="20"/>
    </row>
    <row r="1084" customFormat="false" ht="14.25" hidden="false" customHeight="true" outlineLevel="0" collapsed="false">
      <c r="A1084" s="3" t="s">
        <v>1259</v>
      </c>
      <c r="B1084" s="3" t="s">
        <v>1260</v>
      </c>
      <c r="C1084" s="3" t="n">
        <v>224018</v>
      </c>
      <c r="D1084" s="3" t="s">
        <v>1277</v>
      </c>
      <c r="E1084" s="18" t="n">
        <v>45295</v>
      </c>
      <c r="F1084" s="3" t="s">
        <v>1262</v>
      </c>
      <c r="G1084" s="3" t="s">
        <v>5</v>
      </c>
      <c r="H1084" s="19"/>
      <c r="I1084" s="19"/>
      <c r="J1084" s="20"/>
      <c r="K1084" s="20"/>
      <c r="L1084" s="19"/>
      <c r="M1084" s="19"/>
      <c r="N1084" s="19"/>
      <c r="O1084" s="20"/>
      <c r="P1084" s="20"/>
    </row>
    <row r="1085" customFormat="false" ht="14.25" hidden="false" customHeight="true" outlineLevel="0" collapsed="false">
      <c r="A1085" s="3" t="s">
        <v>1259</v>
      </c>
      <c r="B1085" s="3" t="s">
        <v>1260</v>
      </c>
      <c r="C1085" s="3" t="n">
        <v>224018</v>
      </c>
      <c r="D1085" s="3" t="s">
        <v>1278</v>
      </c>
      <c r="E1085" s="18" t="n">
        <v>45309</v>
      </c>
      <c r="F1085" s="3" t="s">
        <v>1262</v>
      </c>
      <c r="G1085" s="3" t="s">
        <v>5</v>
      </c>
      <c r="H1085" s="19"/>
      <c r="I1085" s="19"/>
      <c r="J1085" s="20"/>
      <c r="K1085" s="20"/>
      <c r="L1085" s="19"/>
      <c r="M1085" s="19"/>
      <c r="N1085" s="19"/>
      <c r="O1085" s="20"/>
      <c r="P1085" s="20"/>
    </row>
    <row r="1086" customFormat="false" ht="14.25" hidden="false" customHeight="true" outlineLevel="0" collapsed="false">
      <c r="A1086" s="3" t="s">
        <v>1259</v>
      </c>
      <c r="B1086" s="3" t="s">
        <v>1260</v>
      </c>
      <c r="C1086" s="3" t="n">
        <v>224018</v>
      </c>
      <c r="D1086" s="3" t="s">
        <v>1391</v>
      </c>
      <c r="E1086" s="18" t="n">
        <v>45309</v>
      </c>
      <c r="F1086" s="3" t="s">
        <v>1262</v>
      </c>
      <c r="G1086" s="3" t="s">
        <v>1275</v>
      </c>
      <c r="H1086" s="19"/>
      <c r="I1086" s="19"/>
      <c r="J1086" s="20"/>
      <c r="K1086" s="20"/>
      <c r="L1086" s="19"/>
      <c r="M1086" s="19"/>
      <c r="N1086" s="19"/>
      <c r="O1086" s="20"/>
      <c r="P1086" s="20"/>
    </row>
    <row r="1087" customFormat="false" ht="14.25" hidden="false" customHeight="true" outlineLevel="0" collapsed="false">
      <c r="A1087" s="3" t="s">
        <v>1259</v>
      </c>
      <c r="B1087" s="3" t="s">
        <v>1260</v>
      </c>
      <c r="C1087" s="3" t="n">
        <v>224018</v>
      </c>
      <c r="D1087" s="3" t="s">
        <v>1279</v>
      </c>
      <c r="E1087" s="18" t="n">
        <v>45323</v>
      </c>
      <c r="F1087" s="3" t="s">
        <v>1262</v>
      </c>
      <c r="G1087" s="3" t="s">
        <v>5</v>
      </c>
      <c r="H1087" s="19"/>
      <c r="I1087" s="19"/>
      <c r="J1087" s="20"/>
      <c r="K1087" s="20"/>
      <c r="L1087" s="19"/>
      <c r="M1087" s="19"/>
      <c r="N1087" s="19"/>
      <c r="O1087" s="20"/>
      <c r="P1087" s="20"/>
    </row>
    <row r="1088" customFormat="false" ht="14.25" hidden="false" customHeight="true" outlineLevel="0" collapsed="false">
      <c r="A1088" s="3" t="s">
        <v>1259</v>
      </c>
      <c r="B1088" s="3" t="s">
        <v>1260</v>
      </c>
      <c r="C1088" s="3" t="n">
        <v>224018</v>
      </c>
      <c r="D1088" s="3" t="s">
        <v>1281</v>
      </c>
      <c r="E1088" s="18" t="n">
        <v>45337</v>
      </c>
      <c r="F1088" s="3" t="s">
        <v>1262</v>
      </c>
      <c r="G1088" s="3" t="s">
        <v>5</v>
      </c>
      <c r="H1088" s="19"/>
      <c r="I1088" s="19"/>
      <c r="J1088" s="20"/>
      <c r="K1088" s="20"/>
      <c r="L1088" s="19"/>
      <c r="M1088" s="19"/>
      <c r="N1088" s="19"/>
      <c r="O1088" s="20"/>
      <c r="P1088" s="20"/>
    </row>
    <row r="1089" customFormat="false" ht="14.25" hidden="false" customHeight="true" outlineLevel="0" collapsed="false">
      <c r="A1089" s="3" t="s">
        <v>1259</v>
      </c>
      <c r="B1089" s="3" t="s">
        <v>1260</v>
      </c>
      <c r="C1089" s="3" t="n">
        <v>224018</v>
      </c>
      <c r="D1089" s="3" t="s">
        <v>1282</v>
      </c>
      <c r="E1089" s="18" t="n">
        <v>45351</v>
      </c>
      <c r="F1089" s="3" t="s">
        <v>1262</v>
      </c>
      <c r="G1089" s="3" t="s">
        <v>5</v>
      </c>
      <c r="H1089" s="19"/>
      <c r="I1089" s="19"/>
      <c r="J1089" s="20"/>
      <c r="K1089" s="20"/>
      <c r="L1089" s="19"/>
      <c r="M1089" s="19"/>
      <c r="N1089" s="19"/>
      <c r="O1089" s="20"/>
      <c r="P1089" s="20"/>
    </row>
    <row r="1090" customFormat="false" ht="14.25" hidden="false" customHeight="true" outlineLevel="0" collapsed="false">
      <c r="A1090" s="3" t="s">
        <v>1259</v>
      </c>
      <c r="B1090" s="3" t="s">
        <v>1260</v>
      </c>
      <c r="C1090" s="3" t="n">
        <v>224018</v>
      </c>
      <c r="D1090" s="3" t="s">
        <v>1483</v>
      </c>
      <c r="E1090" s="18" t="n">
        <v>45351</v>
      </c>
      <c r="F1090" s="3" t="s">
        <v>1262</v>
      </c>
      <c r="G1090" s="3" t="s">
        <v>1275</v>
      </c>
      <c r="H1090" s="19"/>
      <c r="I1090" s="19"/>
      <c r="J1090" s="20"/>
      <c r="K1090" s="20"/>
      <c r="L1090" s="19"/>
      <c r="M1090" s="19"/>
      <c r="N1090" s="19"/>
      <c r="O1090" s="20"/>
      <c r="P1090" s="20"/>
    </row>
    <row r="1091" customFormat="false" ht="14.25" hidden="false" customHeight="true" outlineLevel="0" collapsed="false">
      <c r="A1091" s="3" t="s">
        <v>1259</v>
      </c>
      <c r="B1091" s="3" t="s">
        <v>1260</v>
      </c>
      <c r="C1091" s="3" t="n">
        <v>224018</v>
      </c>
      <c r="D1091" s="3" t="s">
        <v>1283</v>
      </c>
      <c r="E1091" s="18" t="n">
        <v>45365</v>
      </c>
      <c r="F1091" s="3" t="s">
        <v>1262</v>
      </c>
      <c r="G1091" s="3" t="s">
        <v>5</v>
      </c>
      <c r="H1091" s="19"/>
      <c r="I1091" s="19"/>
      <c r="J1091" s="20"/>
      <c r="K1091" s="20"/>
      <c r="L1091" s="19"/>
      <c r="M1091" s="19"/>
      <c r="N1091" s="19"/>
      <c r="O1091" s="20"/>
      <c r="P1091" s="20"/>
    </row>
    <row r="1092" customFormat="false" ht="14.25" hidden="false" customHeight="true" outlineLevel="0" collapsed="false">
      <c r="A1092" s="3" t="s">
        <v>1259</v>
      </c>
      <c r="B1092" s="3" t="s">
        <v>1260</v>
      </c>
      <c r="C1092" s="3" t="n">
        <v>224018</v>
      </c>
      <c r="D1092" s="3" t="s">
        <v>1284</v>
      </c>
      <c r="E1092" s="18" t="n">
        <v>45379</v>
      </c>
      <c r="F1092" s="3" t="s">
        <v>1262</v>
      </c>
      <c r="G1092" s="3" t="s">
        <v>5</v>
      </c>
      <c r="H1092" s="19"/>
      <c r="I1092" s="19"/>
      <c r="J1092" s="20"/>
      <c r="K1092" s="20"/>
      <c r="L1092" s="19"/>
      <c r="M1092" s="19"/>
      <c r="N1092" s="19"/>
      <c r="O1092" s="20"/>
      <c r="P1092" s="20"/>
    </row>
    <row r="1093" customFormat="false" ht="14.25" hidden="false" customHeight="true" outlineLevel="0" collapsed="false">
      <c r="A1093" s="3" t="s">
        <v>1259</v>
      </c>
      <c r="B1093" s="3" t="s">
        <v>1260</v>
      </c>
      <c r="C1093" s="3" t="n">
        <v>224018</v>
      </c>
      <c r="D1093" s="3" t="s">
        <v>1484</v>
      </c>
      <c r="E1093" s="18" t="n">
        <v>45383</v>
      </c>
      <c r="F1093" s="3" t="s">
        <v>1262</v>
      </c>
      <c r="G1093" s="3" t="s">
        <v>1268</v>
      </c>
      <c r="H1093" s="19"/>
      <c r="I1093" s="19"/>
      <c r="J1093" s="20"/>
      <c r="K1093" s="20"/>
      <c r="L1093" s="19"/>
      <c r="M1093" s="19"/>
      <c r="N1093" s="19"/>
      <c r="O1093" s="20"/>
      <c r="P1093" s="20"/>
    </row>
    <row r="1094" customFormat="false" ht="14.25" hidden="false" customHeight="true" outlineLevel="0" collapsed="false">
      <c r="A1094" s="3" t="s">
        <v>1259</v>
      </c>
      <c r="B1094" s="3" t="s">
        <v>1260</v>
      </c>
      <c r="C1094" s="3" t="n">
        <v>224020</v>
      </c>
      <c r="D1094" s="3" t="s">
        <v>1261</v>
      </c>
      <c r="E1094" s="18" t="n">
        <v>45231</v>
      </c>
      <c r="F1094" s="3" t="s">
        <v>1262</v>
      </c>
      <c r="G1094" s="3" t="s">
        <v>5</v>
      </c>
      <c r="H1094" s="19" t="n">
        <v>45231</v>
      </c>
      <c r="I1094" s="19" t="n">
        <v>45054</v>
      </c>
      <c r="J1094" s="20" t="n">
        <v>63</v>
      </c>
      <c r="K1094" s="20" t="s">
        <v>1313</v>
      </c>
      <c r="L1094" s="19" t="s">
        <v>12</v>
      </c>
      <c r="M1094" s="19"/>
      <c r="N1094" s="19"/>
      <c r="O1094" s="20"/>
      <c r="P1094" s="20"/>
    </row>
    <row r="1095" customFormat="false" ht="14.25" hidden="false" customHeight="true" outlineLevel="0" collapsed="false">
      <c r="A1095" s="3" t="s">
        <v>1259</v>
      </c>
      <c r="B1095" s="3" t="s">
        <v>1260</v>
      </c>
      <c r="C1095" s="3" t="n">
        <v>224020</v>
      </c>
      <c r="D1095" s="3" t="s">
        <v>1264</v>
      </c>
      <c r="E1095" s="18" t="n">
        <v>45258</v>
      </c>
      <c r="F1095" s="3" t="s">
        <v>1262</v>
      </c>
      <c r="G1095" s="3" t="s">
        <v>5</v>
      </c>
      <c r="H1095" s="19"/>
      <c r="I1095" s="19"/>
      <c r="J1095" s="20"/>
      <c r="K1095" s="20"/>
      <c r="L1095" s="19"/>
      <c r="M1095" s="19"/>
      <c r="N1095" s="19"/>
      <c r="O1095" s="20"/>
      <c r="P1095" s="20"/>
    </row>
    <row r="1096" customFormat="false" ht="14.25" hidden="false" customHeight="true" outlineLevel="0" collapsed="false">
      <c r="A1096" s="3" t="s">
        <v>1259</v>
      </c>
      <c r="B1096" s="3" t="s">
        <v>1260</v>
      </c>
      <c r="C1096" s="3" t="n">
        <v>224020</v>
      </c>
      <c r="D1096" s="3" t="s">
        <v>1269</v>
      </c>
      <c r="E1096" s="18" t="n">
        <v>45273</v>
      </c>
      <c r="F1096" s="3" t="s">
        <v>1262</v>
      </c>
      <c r="G1096" s="3" t="s">
        <v>5</v>
      </c>
      <c r="H1096" s="19"/>
      <c r="I1096" s="19"/>
      <c r="J1096" s="20"/>
      <c r="K1096" s="20"/>
      <c r="L1096" s="19"/>
      <c r="M1096" s="19"/>
      <c r="N1096" s="19"/>
      <c r="O1096" s="20"/>
      <c r="P1096" s="20"/>
    </row>
    <row r="1097" customFormat="false" ht="14.25" hidden="false" customHeight="true" outlineLevel="0" collapsed="false">
      <c r="A1097" s="3" t="s">
        <v>1259</v>
      </c>
      <c r="B1097" s="3" t="s">
        <v>1260</v>
      </c>
      <c r="C1097" s="3" t="n">
        <v>224020</v>
      </c>
      <c r="D1097" s="3" t="s">
        <v>1271</v>
      </c>
      <c r="E1097" s="18" t="n">
        <v>45286</v>
      </c>
      <c r="F1097" s="3" t="s">
        <v>1262</v>
      </c>
      <c r="G1097" s="3" t="s">
        <v>5</v>
      </c>
      <c r="H1097" s="19"/>
      <c r="I1097" s="19"/>
      <c r="J1097" s="20"/>
      <c r="K1097" s="20"/>
      <c r="L1097" s="19"/>
      <c r="M1097" s="19"/>
      <c r="N1097" s="19"/>
      <c r="O1097" s="20"/>
      <c r="P1097" s="20"/>
    </row>
    <row r="1098" customFormat="false" ht="14.25" hidden="false" customHeight="true" outlineLevel="0" collapsed="false">
      <c r="A1098" s="3" t="s">
        <v>1259</v>
      </c>
      <c r="B1098" s="3" t="s">
        <v>1260</v>
      </c>
      <c r="C1098" s="3" t="n">
        <v>224020</v>
      </c>
      <c r="D1098" s="3" t="s">
        <v>1273</v>
      </c>
      <c r="E1098" s="18" t="n">
        <v>45300</v>
      </c>
      <c r="F1098" s="3" t="s">
        <v>1262</v>
      </c>
      <c r="G1098" s="3" t="s">
        <v>5</v>
      </c>
      <c r="H1098" s="19"/>
      <c r="I1098" s="19"/>
      <c r="J1098" s="20"/>
      <c r="K1098" s="20"/>
      <c r="L1098" s="19"/>
      <c r="M1098" s="19"/>
      <c r="N1098" s="19"/>
      <c r="O1098" s="20"/>
      <c r="P1098" s="20"/>
    </row>
    <row r="1099" customFormat="false" ht="14.25" hidden="false" customHeight="true" outlineLevel="0" collapsed="false">
      <c r="A1099" s="3" t="s">
        <v>1259</v>
      </c>
      <c r="B1099" s="3" t="s">
        <v>1260</v>
      </c>
      <c r="C1099" s="3" t="n">
        <v>224020</v>
      </c>
      <c r="D1099" s="3" t="s">
        <v>1447</v>
      </c>
      <c r="E1099" s="18" t="n">
        <v>45300</v>
      </c>
      <c r="F1099" s="3" t="s">
        <v>1262</v>
      </c>
      <c r="G1099" s="3" t="s">
        <v>1275</v>
      </c>
      <c r="H1099" s="19"/>
      <c r="I1099" s="19"/>
      <c r="J1099" s="20"/>
      <c r="K1099" s="20"/>
      <c r="L1099" s="19"/>
      <c r="M1099" s="19"/>
      <c r="N1099" s="19"/>
      <c r="O1099" s="20"/>
      <c r="P1099" s="20"/>
    </row>
    <row r="1100" customFormat="false" ht="14.25" hidden="false" customHeight="true" outlineLevel="0" collapsed="false">
      <c r="A1100" s="3" t="s">
        <v>1259</v>
      </c>
      <c r="B1100" s="3" t="s">
        <v>1260</v>
      </c>
      <c r="C1100" s="3" t="n">
        <v>224020</v>
      </c>
      <c r="D1100" s="3" t="s">
        <v>1276</v>
      </c>
      <c r="E1100" s="18" t="n">
        <v>45315</v>
      </c>
      <c r="F1100" s="3" t="s">
        <v>1262</v>
      </c>
      <c r="G1100" s="3" t="s">
        <v>5</v>
      </c>
      <c r="H1100" s="19"/>
      <c r="I1100" s="19"/>
      <c r="J1100" s="20"/>
      <c r="K1100" s="20"/>
      <c r="L1100" s="19"/>
      <c r="M1100" s="19"/>
      <c r="N1100" s="19"/>
      <c r="O1100" s="20"/>
      <c r="P1100" s="20"/>
    </row>
    <row r="1101" customFormat="false" ht="14.25" hidden="false" customHeight="true" outlineLevel="0" collapsed="false">
      <c r="A1101" s="3" t="s">
        <v>1259</v>
      </c>
      <c r="B1101" s="3" t="s">
        <v>1260</v>
      </c>
      <c r="C1101" s="3" t="n">
        <v>224020</v>
      </c>
      <c r="D1101" s="3" t="s">
        <v>1277</v>
      </c>
      <c r="E1101" s="18" t="n">
        <v>45329</v>
      </c>
      <c r="F1101" s="3" t="s">
        <v>1262</v>
      </c>
      <c r="G1101" s="3" t="s">
        <v>5</v>
      </c>
      <c r="H1101" s="19"/>
      <c r="I1101" s="19"/>
      <c r="J1101" s="20"/>
      <c r="K1101" s="20"/>
      <c r="L1101" s="19"/>
      <c r="M1101" s="19"/>
      <c r="N1101" s="19"/>
      <c r="O1101" s="20"/>
      <c r="P1101" s="20"/>
    </row>
    <row r="1102" customFormat="false" ht="14.25" hidden="false" customHeight="true" outlineLevel="0" collapsed="false">
      <c r="A1102" s="3" t="s">
        <v>1259</v>
      </c>
      <c r="B1102" s="3" t="s">
        <v>1260</v>
      </c>
      <c r="C1102" s="3" t="n">
        <v>224020</v>
      </c>
      <c r="D1102" s="3" t="s">
        <v>1278</v>
      </c>
      <c r="E1102" s="18" t="n">
        <v>45343</v>
      </c>
      <c r="F1102" s="3" t="s">
        <v>1262</v>
      </c>
      <c r="G1102" s="3" t="s">
        <v>5</v>
      </c>
      <c r="H1102" s="19"/>
      <c r="I1102" s="19"/>
      <c r="J1102" s="20"/>
      <c r="K1102" s="20"/>
      <c r="L1102" s="19"/>
      <c r="M1102" s="19"/>
      <c r="N1102" s="19"/>
      <c r="O1102" s="20"/>
      <c r="P1102" s="20"/>
    </row>
    <row r="1103" customFormat="false" ht="14.25" hidden="false" customHeight="true" outlineLevel="0" collapsed="false">
      <c r="A1103" s="3" t="s">
        <v>1259</v>
      </c>
      <c r="B1103" s="3" t="s">
        <v>1260</v>
      </c>
      <c r="C1103" s="3" t="n">
        <v>224020</v>
      </c>
      <c r="D1103" s="3" t="s">
        <v>1449</v>
      </c>
      <c r="E1103" s="18" t="n">
        <v>45343</v>
      </c>
      <c r="F1103" s="3" t="s">
        <v>1262</v>
      </c>
      <c r="G1103" s="3" t="s">
        <v>1275</v>
      </c>
      <c r="H1103" s="19"/>
      <c r="I1103" s="19"/>
      <c r="J1103" s="20"/>
      <c r="K1103" s="20"/>
      <c r="L1103" s="19"/>
      <c r="M1103" s="19"/>
      <c r="N1103" s="19"/>
      <c r="O1103" s="20"/>
      <c r="P1103" s="20"/>
    </row>
    <row r="1104" customFormat="false" ht="14.25" hidden="false" customHeight="true" outlineLevel="0" collapsed="false">
      <c r="A1104" s="3" t="s">
        <v>1259</v>
      </c>
      <c r="B1104" s="3" t="s">
        <v>1260</v>
      </c>
      <c r="C1104" s="3" t="n">
        <v>224020</v>
      </c>
      <c r="D1104" s="3" t="s">
        <v>1279</v>
      </c>
      <c r="E1104" s="18" t="n">
        <v>45357</v>
      </c>
      <c r="F1104" s="3" t="s">
        <v>1262</v>
      </c>
      <c r="G1104" s="3" t="s">
        <v>5</v>
      </c>
      <c r="H1104" s="19"/>
      <c r="I1104" s="19"/>
      <c r="J1104" s="20"/>
      <c r="K1104" s="20"/>
      <c r="L1104" s="19"/>
      <c r="M1104" s="19"/>
      <c r="N1104" s="19"/>
      <c r="O1104" s="20"/>
      <c r="P1104" s="20"/>
    </row>
    <row r="1105" customFormat="false" ht="14.25" hidden="false" customHeight="true" outlineLevel="0" collapsed="false">
      <c r="A1105" s="3" t="s">
        <v>1259</v>
      </c>
      <c r="B1105" s="3" t="s">
        <v>1260</v>
      </c>
      <c r="C1105" s="3" t="n">
        <v>224020</v>
      </c>
      <c r="D1105" s="3" t="s">
        <v>1281</v>
      </c>
      <c r="E1105" s="18" t="n">
        <v>45371</v>
      </c>
      <c r="F1105" s="3" t="s">
        <v>1262</v>
      </c>
      <c r="G1105" s="3" t="s">
        <v>5</v>
      </c>
      <c r="H1105" s="19"/>
      <c r="I1105" s="19"/>
      <c r="J1105" s="20"/>
      <c r="K1105" s="20"/>
      <c r="L1105" s="19"/>
      <c r="M1105" s="19"/>
      <c r="N1105" s="19"/>
      <c r="O1105" s="20"/>
      <c r="P1105" s="20"/>
    </row>
    <row r="1106" customFormat="false" ht="14.25" hidden="false" customHeight="true" outlineLevel="0" collapsed="false">
      <c r="A1106" s="3" t="s">
        <v>1259</v>
      </c>
      <c r="B1106" s="3" t="s">
        <v>1260</v>
      </c>
      <c r="C1106" s="3" t="n">
        <v>224020</v>
      </c>
      <c r="D1106" s="3" t="s">
        <v>1282</v>
      </c>
      <c r="E1106" s="18" t="n">
        <v>45385</v>
      </c>
      <c r="F1106" s="3" t="s">
        <v>1262</v>
      </c>
      <c r="G1106" s="3" t="s">
        <v>5</v>
      </c>
      <c r="H1106" s="19"/>
      <c r="I1106" s="19"/>
      <c r="J1106" s="20"/>
      <c r="K1106" s="20"/>
      <c r="L1106" s="19"/>
      <c r="M1106" s="19"/>
      <c r="N1106" s="19"/>
      <c r="O1106" s="20"/>
      <c r="P1106" s="20"/>
    </row>
    <row r="1107" customFormat="false" ht="14.25" hidden="false" customHeight="true" outlineLevel="0" collapsed="false">
      <c r="A1107" s="3" t="s">
        <v>1259</v>
      </c>
      <c r="B1107" s="3" t="s">
        <v>1260</v>
      </c>
      <c r="C1107" s="3" t="n">
        <v>224020</v>
      </c>
      <c r="D1107" s="3" t="s">
        <v>1446</v>
      </c>
      <c r="E1107" s="18" t="n">
        <v>45385</v>
      </c>
      <c r="F1107" s="3" t="s">
        <v>1262</v>
      </c>
      <c r="G1107" s="3" t="s">
        <v>1275</v>
      </c>
      <c r="H1107" s="19"/>
      <c r="I1107" s="19"/>
      <c r="J1107" s="20"/>
      <c r="K1107" s="20"/>
      <c r="L1107" s="19"/>
      <c r="M1107" s="19"/>
      <c r="N1107" s="19"/>
      <c r="O1107" s="20"/>
      <c r="P1107" s="20"/>
    </row>
    <row r="1108" customFormat="false" ht="14.25" hidden="false" customHeight="true" outlineLevel="0" collapsed="false">
      <c r="A1108" s="3" t="s">
        <v>1259</v>
      </c>
      <c r="B1108" s="3" t="s">
        <v>1260</v>
      </c>
      <c r="C1108" s="3" t="n">
        <v>224020</v>
      </c>
      <c r="D1108" s="3" t="s">
        <v>1283</v>
      </c>
      <c r="E1108" s="18" t="n">
        <v>45399</v>
      </c>
      <c r="F1108" s="3" t="s">
        <v>1262</v>
      </c>
      <c r="G1108" s="3" t="s">
        <v>5</v>
      </c>
      <c r="H1108" s="19"/>
      <c r="I1108" s="19"/>
      <c r="J1108" s="20"/>
      <c r="K1108" s="20"/>
      <c r="L1108" s="19"/>
      <c r="M1108" s="19"/>
      <c r="N1108" s="19"/>
      <c r="O1108" s="20"/>
      <c r="P1108" s="20"/>
    </row>
    <row r="1109" customFormat="false" ht="14.25" hidden="false" customHeight="true" outlineLevel="0" collapsed="false">
      <c r="A1109" s="3" t="s">
        <v>1259</v>
      </c>
      <c r="B1109" s="3" t="s">
        <v>1260</v>
      </c>
      <c r="C1109" s="3" t="n">
        <v>224020</v>
      </c>
      <c r="D1109" s="3" t="s">
        <v>1485</v>
      </c>
      <c r="E1109" s="18" t="n">
        <v>45400</v>
      </c>
      <c r="F1109" s="3" t="s">
        <v>1262</v>
      </c>
      <c r="G1109" s="3" t="s">
        <v>1268</v>
      </c>
      <c r="H1109" s="19"/>
      <c r="I1109" s="19"/>
      <c r="J1109" s="20"/>
      <c r="K1109" s="20"/>
      <c r="L1109" s="19"/>
      <c r="M1109" s="19"/>
      <c r="N1109" s="19"/>
      <c r="O1109" s="20"/>
      <c r="P1109" s="20"/>
    </row>
    <row r="1110" customFormat="false" ht="14.25" hidden="false" customHeight="true" outlineLevel="0" collapsed="false">
      <c r="A1110" s="3" t="s">
        <v>1259</v>
      </c>
      <c r="B1110" s="3" t="s">
        <v>1260</v>
      </c>
      <c r="C1110" s="3" t="n">
        <v>224020</v>
      </c>
      <c r="D1110" s="3" t="s">
        <v>1486</v>
      </c>
      <c r="E1110" s="18" t="n">
        <v>45405</v>
      </c>
      <c r="F1110" s="3" t="s">
        <v>1262</v>
      </c>
      <c r="G1110" s="3" t="s">
        <v>1268</v>
      </c>
      <c r="H1110" s="19"/>
      <c r="I1110" s="19"/>
      <c r="J1110" s="20"/>
      <c r="K1110" s="20"/>
      <c r="L1110" s="19"/>
      <c r="M1110" s="19"/>
      <c r="N1110" s="19"/>
      <c r="O1110" s="20"/>
      <c r="P1110" s="20"/>
    </row>
    <row r="1111" customFormat="false" ht="14.25" hidden="false" customHeight="true" outlineLevel="0" collapsed="false">
      <c r="A1111" s="3" t="s">
        <v>1259</v>
      </c>
      <c r="B1111" s="3" t="s">
        <v>1260</v>
      </c>
      <c r="C1111" s="3" t="n">
        <v>224020</v>
      </c>
      <c r="D1111" s="3" t="s">
        <v>1284</v>
      </c>
      <c r="E1111" s="18" t="n">
        <v>45412</v>
      </c>
      <c r="F1111" s="3" t="s">
        <v>1262</v>
      </c>
      <c r="G1111" s="3" t="s">
        <v>5</v>
      </c>
      <c r="H1111" s="19"/>
      <c r="I1111" s="19"/>
      <c r="J1111" s="20"/>
      <c r="K1111" s="20"/>
      <c r="L1111" s="19"/>
      <c r="M1111" s="19"/>
      <c r="N1111" s="19"/>
      <c r="O1111" s="20"/>
      <c r="P1111" s="20"/>
    </row>
    <row r="1112" customFormat="false" ht="14.25" hidden="false" customHeight="true" outlineLevel="0" collapsed="false">
      <c r="A1112" s="3" t="s">
        <v>1259</v>
      </c>
      <c r="B1112" s="3" t="s">
        <v>1260</v>
      </c>
      <c r="C1112" s="3" t="n">
        <v>224020</v>
      </c>
      <c r="D1112" s="3" t="s">
        <v>1286</v>
      </c>
      <c r="E1112" s="18" t="n">
        <v>45426</v>
      </c>
      <c r="F1112" s="3" t="s">
        <v>1262</v>
      </c>
      <c r="G1112" s="3" t="s">
        <v>5</v>
      </c>
      <c r="H1112" s="19"/>
      <c r="I1112" s="19"/>
      <c r="J1112" s="20"/>
      <c r="K1112" s="20"/>
      <c r="L1112" s="19"/>
      <c r="M1112" s="19"/>
      <c r="N1112" s="19"/>
      <c r="O1112" s="20"/>
      <c r="P1112" s="20"/>
    </row>
    <row r="1113" customFormat="false" ht="14.25" hidden="false" customHeight="true" outlineLevel="0" collapsed="false">
      <c r="A1113" s="3" t="s">
        <v>1259</v>
      </c>
      <c r="B1113" s="3" t="s">
        <v>1260</v>
      </c>
      <c r="C1113" s="3" t="n">
        <v>224021</v>
      </c>
      <c r="D1113" s="3" t="s">
        <v>1261</v>
      </c>
      <c r="E1113" s="18" t="n">
        <v>45231</v>
      </c>
      <c r="F1113" s="3" t="s">
        <v>1333</v>
      </c>
      <c r="G1113" s="3" t="s">
        <v>5</v>
      </c>
      <c r="H1113" s="19" t="n">
        <v>45231</v>
      </c>
      <c r="I1113" s="19" t="n">
        <v>45054</v>
      </c>
      <c r="J1113" s="20" t="n">
        <v>63</v>
      </c>
      <c r="K1113" s="20" t="s">
        <v>1313</v>
      </c>
      <c r="L1113" s="19" t="s">
        <v>12</v>
      </c>
      <c r="M1113" s="19" t="s">
        <v>1334</v>
      </c>
      <c r="N1113" s="19" t="n">
        <v>45253</v>
      </c>
      <c r="O1113" s="20"/>
      <c r="P1113" s="20" t="s">
        <v>1335</v>
      </c>
    </row>
    <row r="1114" customFormat="false" ht="14.25" hidden="false" customHeight="true" outlineLevel="0" collapsed="false">
      <c r="A1114" s="3" t="s">
        <v>1259</v>
      </c>
      <c r="B1114" s="3" t="s">
        <v>1260</v>
      </c>
      <c r="C1114" s="3" t="n">
        <v>224022</v>
      </c>
      <c r="D1114" s="3" t="s">
        <v>1261</v>
      </c>
      <c r="E1114" s="18" t="n">
        <v>45231</v>
      </c>
      <c r="F1114" s="3" t="s">
        <v>1333</v>
      </c>
      <c r="G1114" s="3" t="s">
        <v>5</v>
      </c>
      <c r="H1114" s="19" t="n">
        <v>45231</v>
      </c>
      <c r="I1114" s="19" t="n">
        <v>45054</v>
      </c>
      <c r="J1114" s="20" t="n">
        <v>68</v>
      </c>
      <c r="K1114" s="20" t="s">
        <v>1313</v>
      </c>
      <c r="L1114" s="19" t="s">
        <v>12</v>
      </c>
      <c r="M1114" s="19" t="s">
        <v>1334</v>
      </c>
      <c r="N1114" s="19" t="n">
        <v>45257</v>
      </c>
      <c r="O1114" s="20"/>
      <c r="P1114" s="20" t="s">
        <v>1335</v>
      </c>
    </row>
    <row r="1115" customFormat="false" ht="14.25" hidden="false" customHeight="true" outlineLevel="0" collapsed="false">
      <c r="A1115" s="3" t="s">
        <v>1259</v>
      </c>
      <c r="B1115" s="3" t="s">
        <v>1260</v>
      </c>
      <c r="C1115" s="3" t="n">
        <v>224024</v>
      </c>
      <c r="D1115" s="3" t="s">
        <v>1261</v>
      </c>
      <c r="E1115" s="18" t="n">
        <v>45245</v>
      </c>
      <c r="F1115" s="3" t="s">
        <v>1333</v>
      </c>
      <c r="G1115" s="3" t="s">
        <v>5</v>
      </c>
      <c r="H1115" s="19" t="n">
        <v>45245</v>
      </c>
      <c r="I1115" s="19" t="n">
        <v>45054</v>
      </c>
      <c r="J1115" s="20" t="n">
        <v>63</v>
      </c>
      <c r="K1115" s="20" t="s">
        <v>1313</v>
      </c>
      <c r="L1115" s="19" t="s">
        <v>12</v>
      </c>
      <c r="M1115" s="19" t="s">
        <v>1334</v>
      </c>
      <c r="N1115" s="19" t="n">
        <v>45268</v>
      </c>
      <c r="O1115" s="20"/>
      <c r="P1115" s="20" t="s">
        <v>1335</v>
      </c>
    </row>
    <row r="1116" customFormat="false" ht="14.25" hidden="false" customHeight="true" outlineLevel="0" collapsed="false">
      <c r="A1116" s="3" t="s">
        <v>1259</v>
      </c>
      <c r="B1116" s="3" t="s">
        <v>1260</v>
      </c>
      <c r="C1116" s="3" t="n">
        <v>224025</v>
      </c>
      <c r="D1116" s="3" t="s">
        <v>1261</v>
      </c>
      <c r="E1116" s="18" t="n">
        <v>45252</v>
      </c>
      <c r="F1116" s="3" t="s">
        <v>1262</v>
      </c>
      <c r="G1116" s="3" t="s">
        <v>5</v>
      </c>
      <c r="H1116" s="19" t="n">
        <v>45252</v>
      </c>
      <c r="I1116" s="19" t="n">
        <v>45054</v>
      </c>
      <c r="J1116" s="20" t="n">
        <v>74</v>
      </c>
      <c r="K1116" s="20" t="s">
        <v>1313</v>
      </c>
      <c r="L1116" s="19" t="s">
        <v>12</v>
      </c>
      <c r="M1116" s="19"/>
      <c r="N1116" s="19"/>
      <c r="O1116" s="20"/>
      <c r="P1116" s="20"/>
    </row>
    <row r="1117" customFormat="false" ht="14.25" hidden="false" customHeight="true" outlineLevel="0" collapsed="false">
      <c r="A1117" s="3" t="s">
        <v>1259</v>
      </c>
      <c r="B1117" s="3" t="s">
        <v>1260</v>
      </c>
      <c r="C1117" s="3" t="n">
        <v>224025</v>
      </c>
      <c r="D1117" s="3" t="s">
        <v>1264</v>
      </c>
      <c r="E1117" s="18" t="n">
        <v>45280</v>
      </c>
      <c r="F1117" s="3" t="s">
        <v>1262</v>
      </c>
      <c r="G1117" s="3" t="s">
        <v>5</v>
      </c>
      <c r="H1117" s="19"/>
      <c r="I1117" s="19"/>
      <c r="J1117" s="20"/>
      <c r="K1117" s="20"/>
      <c r="L1117" s="19"/>
      <c r="M1117" s="19"/>
      <c r="N1117" s="19"/>
      <c r="O1117" s="20"/>
      <c r="P1117" s="20"/>
    </row>
    <row r="1118" customFormat="false" ht="14.25" hidden="false" customHeight="true" outlineLevel="0" collapsed="false">
      <c r="A1118" s="3" t="s">
        <v>1259</v>
      </c>
      <c r="B1118" s="3" t="s">
        <v>1260</v>
      </c>
      <c r="C1118" s="3" t="n">
        <v>224025</v>
      </c>
      <c r="D1118" s="3" t="s">
        <v>1269</v>
      </c>
      <c r="E1118" s="18" t="n">
        <v>45294</v>
      </c>
      <c r="F1118" s="3" t="s">
        <v>1262</v>
      </c>
      <c r="G1118" s="3" t="s">
        <v>5</v>
      </c>
      <c r="H1118" s="19"/>
      <c r="I1118" s="19"/>
      <c r="J1118" s="20"/>
      <c r="K1118" s="20"/>
      <c r="L1118" s="19"/>
      <c r="M1118" s="19"/>
      <c r="N1118" s="19"/>
      <c r="O1118" s="20"/>
      <c r="P1118" s="20"/>
    </row>
    <row r="1119" customFormat="false" ht="14.25" hidden="false" customHeight="true" outlineLevel="0" collapsed="false">
      <c r="A1119" s="3" t="s">
        <v>1259</v>
      </c>
      <c r="B1119" s="3" t="s">
        <v>1260</v>
      </c>
      <c r="C1119" s="3" t="n">
        <v>224025</v>
      </c>
      <c r="D1119" s="3" t="s">
        <v>1271</v>
      </c>
      <c r="E1119" s="18" t="n">
        <v>45308</v>
      </c>
      <c r="F1119" s="3" t="s">
        <v>1262</v>
      </c>
      <c r="G1119" s="3" t="s">
        <v>5</v>
      </c>
      <c r="H1119" s="19"/>
      <c r="I1119" s="19"/>
      <c r="J1119" s="20"/>
      <c r="K1119" s="20"/>
      <c r="L1119" s="19"/>
      <c r="M1119" s="19"/>
      <c r="N1119" s="19"/>
      <c r="O1119" s="20"/>
      <c r="P1119" s="20"/>
    </row>
    <row r="1120" customFormat="false" ht="14.25" hidden="false" customHeight="true" outlineLevel="0" collapsed="false">
      <c r="A1120" s="3" t="s">
        <v>1259</v>
      </c>
      <c r="B1120" s="3" t="s">
        <v>1260</v>
      </c>
      <c r="C1120" s="3" t="n">
        <v>224025</v>
      </c>
      <c r="D1120" s="3" t="s">
        <v>1273</v>
      </c>
      <c r="E1120" s="18" t="n">
        <v>45322</v>
      </c>
      <c r="F1120" s="3" t="s">
        <v>1262</v>
      </c>
      <c r="G1120" s="3" t="s">
        <v>5</v>
      </c>
      <c r="H1120" s="19"/>
      <c r="I1120" s="19"/>
      <c r="J1120" s="20"/>
      <c r="K1120" s="20"/>
      <c r="L1120" s="19"/>
      <c r="M1120" s="19"/>
      <c r="N1120" s="19"/>
      <c r="O1120" s="20"/>
      <c r="P1120" s="20"/>
    </row>
    <row r="1121" customFormat="false" ht="14.25" hidden="false" customHeight="true" outlineLevel="0" collapsed="false">
      <c r="A1121" s="3" t="s">
        <v>1259</v>
      </c>
      <c r="B1121" s="3" t="s">
        <v>1260</v>
      </c>
      <c r="C1121" s="3" t="n">
        <v>224025</v>
      </c>
      <c r="D1121" s="3" t="s">
        <v>1433</v>
      </c>
      <c r="E1121" s="18" t="n">
        <v>45322</v>
      </c>
      <c r="F1121" s="3" t="s">
        <v>1262</v>
      </c>
      <c r="G1121" s="3" t="s">
        <v>1275</v>
      </c>
      <c r="H1121" s="19"/>
      <c r="I1121" s="19"/>
      <c r="J1121" s="20"/>
      <c r="K1121" s="20"/>
      <c r="L1121" s="19"/>
      <c r="M1121" s="19"/>
      <c r="N1121" s="19"/>
      <c r="O1121" s="20"/>
      <c r="P1121" s="20"/>
    </row>
    <row r="1122" customFormat="false" ht="14.25" hidden="false" customHeight="true" outlineLevel="0" collapsed="false">
      <c r="A1122" s="3" t="s">
        <v>1259</v>
      </c>
      <c r="B1122" s="3" t="s">
        <v>1260</v>
      </c>
      <c r="C1122" s="3" t="n">
        <v>224025</v>
      </c>
      <c r="D1122" s="3" t="s">
        <v>1276</v>
      </c>
      <c r="E1122" s="18" t="n">
        <v>45336</v>
      </c>
      <c r="F1122" s="3" t="s">
        <v>1262</v>
      </c>
      <c r="G1122" s="3" t="s">
        <v>5</v>
      </c>
      <c r="H1122" s="19"/>
      <c r="I1122" s="19"/>
      <c r="J1122" s="20"/>
      <c r="K1122" s="20"/>
      <c r="L1122" s="19"/>
      <c r="M1122" s="19"/>
      <c r="N1122" s="19"/>
      <c r="O1122" s="20"/>
      <c r="P1122" s="20"/>
    </row>
    <row r="1123" customFormat="false" ht="14.25" hidden="false" customHeight="true" outlineLevel="0" collapsed="false">
      <c r="A1123" s="3" t="s">
        <v>1259</v>
      </c>
      <c r="B1123" s="3" t="s">
        <v>1260</v>
      </c>
      <c r="C1123" s="3" t="n">
        <v>224025</v>
      </c>
      <c r="D1123" s="3" t="s">
        <v>1277</v>
      </c>
      <c r="E1123" s="18" t="n">
        <v>45350</v>
      </c>
      <c r="F1123" s="3" t="s">
        <v>1262</v>
      </c>
      <c r="G1123" s="3" t="s">
        <v>5</v>
      </c>
      <c r="H1123" s="19"/>
      <c r="I1123" s="19"/>
      <c r="J1123" s="20"/>
      <c r="K1123" s="20"/>
      <c r="L1123" s="19"/>
      <c r="M1123" s="19"/>
      <c r="N1123" s="19"/>
      <c r="O1123" s="20"/>
      <c r="P1123" s="20"/>
    </row>
    <row r="1124" customFormat="false" ht="14.25" hidden="false" customHeight="true" outlineLevel="0" collapsed="false">
      <c r="A1124" s="3" t="s">
        <v>1259</v>
      </c>
      <c r="B1124" s="3" t="s">
        <v>1260</v>
      </c>
      <c r="C1124" s="3" t="n">
        <v>224025</v>
      </c>
      <c r="D1124" s="3" t="s">
        <v>1278</v>
      </c>
      <c r="E1124" s="18" t="n">
        <v>45364</v>
      </c>
      <c r="F1124" s="3" t="s">
        <v>1262</v>
      </c>
      <c r="G1124" s="3" t="s">
        <v>5</v>
      </c>
      <c r="H1124" s="19"/>
      <c r="I1124" s="19"/>
      <c r="J1124" s="20"/>
      <c r="K1124" s="20"/>
      <c r="L1124" s="19"/>
      <c r="M1124" s="19"/>
      <c r="N1124" s="19"/>
      <c r="O1124" s="20"/>
      <c r="P1124" s="20"/>
    </row>
    <row r="1125" customFormat="false" ht="14.25" hidden="false" customHeight="true" outlineLevel="0" collapsed="false">
      <c r="A1125" s="3" t="s">
        <v>1259</v>
      </c>
      <c r="B1125" s="3" t="s">
        <v>1260</v>
      </c>
      <c r="C1125" s="3" t="n">
        <v>224025</v>
      </c>
      <c r="D1125" s="3" t="s">
        <v>1434</v>
      </c>
      <c r="E1125" s="18" t="n">
        <v>45364</v>
      </c>
      <c r="F1125" s="3" t="s">
        <v>1262</v>
      </c>
      <c r="G1125" s="3" t="s">
        <v>1275</v>
      </c>
      <c r="H1125" s="19"/>
      <c r="I1125" s="19"/>
      <c r="J1125" s="20"/>
      <c r="K1125" s="20"/>
      <c r="L1125" s="19"/>
      <c r="M1125" s="19"/>
      <c r="N1125" s="19"/>
      <c r="O1125" s="20"/>
      <c r="P1125" s="20"/>
    </row>
    <row r="1126" customFormat="false" ht="14.25" hidden="false" customHeight="true" outlineLevel="0" collapsed="false">
      <c r="A1126" s="3" t="s">
        <v>1259</v>
      </c>
      <c r="B1126" s="3" t="s">
        <v>1260</v>
      </c>
      <c r="C1126" s="3" t="n">
        <v>224025</v>
      </c>
      <c r="D1126" s="3" t="s">
        <v>1279</v>
      </c>
      <c r="E1126" s="18" t="n">
        <v>45377</v>
      </c>
      <c r="F1126" s="3" t="s">
        <v>1262</v>
      </c>
      <c r="G1126" s="3" t="s">
        <v>5</v>
      </c>
      <c r="H1126" s="19"/>
      <c r="I1126" s="19"/>
      <c r="J1126" s="20"/>
      <c r="K1126" s="20"/>
      <c r="L1126" s="19"/>
      <c r="M1126" s="19"/>
      <c r="N1126" s="19"/>
      <c r="O1126" s="20"/>
      <c r="P1126" s="20"/>
    </row>
    <row r="1127" customFormat="false" ht="14.25" hidden="false" customHeight="true" outlineLevel="0" collapsed="false">
      <c r="A1127" s="3" t="s">
        <v>1259</v>
      </c>
      <c r="B1127" s="3" t="s">
        <v>1260</v>
      </c>
      <c r="C1127" s="3" t="n">
        <v>224025</v>
      </c>
      <c r="D1127" s="3" t="s">
        <v>1281</v>
      </c>
      <c r="E1127" s="18" t="n">
        <v>45391</v>
      </c>
      <c r="F1127" s="3" t="s">
        <v>1262</v>
      </c>
      <c r="G1127" s="3" t="s">
        <v>5</v>
      </c>
      <c r="H1127" s="19"/>
      <c r="I1127" s="19"/>
      <c r="J1127" s="20"/>
      <c r="K1127" s="20"/>
      <c r="L1127" s="19"/>
      <c r="M1127" s="19"/>
      <c r="N1127" s="19"/>
      <c r="O1127" s="20"/>
      <c r="P1127" s="20"/>
    </row>
    <row r="1128" customFormat="false" ht="14.25" hidden="false" customHeight="true" outlineLevel="0" collapsed="false">
      <c r="A1128" s="3" t="s">
        <v>1259</v>
      </c>
      <c r="B1128" s="3" t="s">
        <v>1260</v>
      </c>
      <c r="C1128" s="3" t="n">
        <v>224025</v>
      </c>
      <c r="D1128" s="3" t="s">
        <v>1282</v>
      </c>
      <c r="E1128" s="18" t="n">
        <v>45406</v>
      </c>
      <c r="F1128" s="3" t="s">
        <v>1262</v>
      </c>
      <c r="G1128" s="3" t="s">
        <v>5</v>
      </c>
      <c r="H1128" s="19"/>
      <c r="I1128" s="19"/>
      <c r="J1128" s="20"/>
      <c r="K1128" s="20"/>
      <c r="L1128" s="19"/>
      <c r="M1128" s="19"/>
      <c r="N1128" s="19"/>
      <c r="O1128" s="20"/>
      <c r="P1128" s="20"/>
    </row>
    <row r="1129" customFormat="false" ht="14.25" hidden="false" customHeight="true" outlineLevel="0" collapsed="false">
      <c r="A1129" s="3" t="s">
        <v>1259</v>
      </c>
      <c r="B1129" s="3" t="s">
        <v>1260</v>
      </c>
      <c r="C1129" s="3" t="n">
        <v>224025</v>
      </c>
      <c r="D1129" s="3" t="s">
        <v>1435</v>
      </c>
      <c r="E1129" s="18" t="n">
        <v>45406</v>
      </c>
      <c r="F1129" s="3" t="s">
        <v>1262</v>
      </c>
      <c r="G1129" s="3" t="s">
        <v>1275</v>
      </c>
      <c r="H1129" s="19"/>
      <c r="I1129" s="19"/>
      <c r="J1129" s="20"/>
      <c r="K1129" s="20"/>
      <c r="L1129" s="19"/>
      <c r="M1129" s="19"/>
      <c r="N1129" s="19"/>
      <c r="O1129" s="20"/>
      <c r="P1129" s="20"/>
    </row>
    <row r="1130" customFormat="false" ht="14.25" hidden="false" customHeight="true" outlineLevel="0" collapsed="false">
      <c r="A1130" s="3" t="s">
        <v>1259</v>
      </c>
      <c r="B1130" s="3" t="s">
        <v>1260</v>
      </c>
      <c r="C1130" s="3" t="n">
        <v>224025</v>
      </c>
      <c r="D1130" s="3" t="s">
        <v>1283</v>
      </c>
      <c r="E1130" s="18" t="n">
        <v>45420</v>
      </c>
      <c r="F1130" s="3" t="s">
        <v>1262</v>
      </c>
      <c r="G1130" s="3" t="s">
        <v>5</v>
      </c>
      <c r="H1130" s="19"/>
      <c r="I1130" s="19"/>
      <c r="J1130" s="20"/>
      <c r="K1130" s="20"/>
      <c r="L1130" s="19"/>
      <c r="M1130" s="19"/>
      <c r="N1130" s="19"/>
      <c r="O1130" s="20"/>
      <c r="P1130" s="20"/>
    </row>
    <row r="1131" customFormat="false" ht="14.25" hidden="false" customHeight="true" outlineLevel="0" collapsed="false">
      <c r="A1131" s="3" t="s">
        <v>1259</v>
      </c>
      <c r="B1131" s="3" t="s">
        <v>1260</v>
      </c>
      <c r="C1131" s="3" t="n">
        <v>224027</v>
      </c>
      <c r="D1131" s="3" t="s">
        <v>1261</v>
      </c>
      <c r="E1131" s="18" t="n">
        <v>45279</v>
      </c>
      <c r="F1131" s="3" t="s">
        <v>1262</v>
      </c>
      <c r="G1131" s="3" t="s">
        <v>5</v>
      </c>
      <c r="H1131" s="19" t="n">
        <v>45279</v>
      </c>
      <c r="I1131" s="19" t="n">
        <v>45054</v>
      </c>
      <c r="J1131" s="20" t="n">
        <v>69</v>
      </c>
      <c r="K1131" s="20" t="s">
        <v>1313</v>
      </c>
      <c r="L1131" s="19" t="s">
        <v>12</v>
      </c>
      <c r="M1131" s="19"/>
      <c r="N1131" s="19"/>
      <c r="O1131" s="20"/>
      <c r="P1131" s="20"/>
    </row>
    <row r="1132" customFormat="false" ht="14.25" hidden="false" customHeight="true" outlineLevel="0" collapsed="false">
      <c r="A1132" s="3" t="s">
        <v>1259</v>
      </c>
      <c r="B1132" s="3" t="s">
        <v>1260</v>
      </c>
      <c r="C1132" s="3" t="n">
        <v>224027</v>
      </c>
      <c r="D1132" s="3" t="s">
        <v>1264</v>
      </c>
      <c r="E1132" s="18" t="n">
        <v>45294</v>
      </c>
      <c r="F1132" s="3" t="s">
        <v>1262</v>
      </c>
      <c r="G1132" s="3" t="s">
        <v>5</v>
      </c>
      <c r="H1132" s="19"/>
      <c r="I1132" s="19"/>
      <c r="J1132" s="20"/>
      <c r="K1132" s="20"/>
      <c r="L1132" s="19"/>
      <c r="M1132" s="19"/>
      <c r="N1132" s="19"/>
      <c r="O1132" s="20"/>
      <c r="P1132" s="20"/>
    </row>
    <row r="1133" customFormat="false" ht="14.25" hidden="false" customHeight="true" outlineLevel="0" collapsed="false">
      <c r="A1133" s="3" t="s">
        <v>1259</v>
      </c>
      <c r="B1133" s="3" t="s">
        <v>1260</v>
      </c>
      <c r="C1133" s="3" t="n">
        <v>224027</v>
      </c>
      <c r="D1133" s="3" t="s">
        <v>1269</v>
      </c>
      <c r="E1133" s="18" t="n">
        <v>45307</v>
      </c>
      <c r="F1133" s="3" t="s">
        <v>1262</v>
      </c>
      <c r="G1133" s="3" t="s">
        <v>5</v>
      </c>
      <c r="H1133" s="19"/>
      <c r="I1133" s="19"/>
      <c r="J1133" s="20"/>
      <c r="K1133" s="20"/>
      <c r="L1133" s="19"/>
      <c r="M1133" s="19"/>
      <c r="N1133" s="19"/>
      <c r="O1133" s="20"/>
      <c r="P1133" s="20"/>
    </row>
    <row r="1134" customFormat="false" ht="14.25" hidden="false" customHeight="true" outlineLevel="0" collapsed="false">
      <c r="A1134" s="3" t="s">
        <v>1259</v>
      </c>
      <c r="B1134" s="3" t="s">
        <v>1260</v>
      </c>
      <c r="C1134" s="3" t="n">
        <v>224027</v>
      </c>
      <c r="D1134" s="3" t="s">
        <v>1271</v>
      </c>
      <c r="E1134" s="18" t="n">
        <v>45322</v>
      </c>
      <c r="F1134" s="3" t="s">
        <v>1262</v>
      </c>
      <c r="G1134" s="3" t="s">
        <v>5</v>
      </c>
      <c r="H1134" s="19"/>
      <c r="I1134" s="19"/>
      <c r="J1134" s="20"/>
      <c r="K1134" s="20"/>
      <c r="L1134" s="19"/>
      <c r="M1134" s="19"/>
      <c r="N1134" s="19"/>
      <c r="O1134" s="20"/>
      <c r="P1134" s="20"/>
    </row>
    <row r="1135" customFormat="false" ht="14.25" hidden="false" customHeight="true" outlineLevel="0" collapsed="false">
      <c r="A1135" s="3" t="s">
        <v>1259</v>
      </c>
      <c r="B1135" s="3" t="s">
        <v>1260</v>
      </c>
      <c r="C1135" s="3" t="n">
        <v>224027</v>
      </c>
      <c r="D1135" s="3" t="s">
        <v>1273</v>
      </c>
      <c r="E1135" s="18" t="n">
        <v>45336</v>
      </c>
      <c r="F1135" s="3" t="s">
        <v>1262</v>
      </c>
      <c r="G1135" s="3" t="s">
        <v>5</v>
      </c>
      <c r="H1135" s="19"/>
      <c r="I1135" s="19"/>
      <c r="J1135" s="20"/>
      <c r="K1135" s="20"/>
      <c r="L1135" s="19"/>
      <c r="M1135" s="19"/>
      <c r="N1135" s="19"/>
      <c r="O1135" s="20"/>
      <c r="P1135" s="20"/>
    </row>
    <row r="1136" customFormat="false" ht="14.25" hidden="false" customHeight="true" outlineLevel="0" collapsed="false">
      <c r="A1136" s="3" t="s">
        <v>1259</v>
      </c>
      <c r="B1136" s="3" t="s">
        <v>1260</v>
      </c>
      <c r="C1136" s="3" t="n">
        <v>224027</v>
      </c>
      <c r="D1136" s="3" t="s">
        <v>1352</v>
      </c>
      <c r="E1136" s="18" t="n">
        <v>45336</v>
      </c>
      <c r="F1136" s="3" t="s">
        <v>1262</v>
      </c>
      <c r="G1136" s="3" t="s">
        <v>1275</v>
      </c>
      <c r="H1136" s="19"/>
      <c r="I1136" s="19"/>
      <c r="J1136" s="20"/>
      <c r="K1136" s="20"/>
      <c r="L1136" s="19"/>
      <c r="M1136" s="19"/>
      <c r="N1136" s="19"/>
      <c r="O1136" s="20"/>
      <c r="P1136" s="20"/>
    </row>
    <row r="1137" customFormat="false" ht="14.25" hidden="false" customHeight="true" outlineLevel="0" collapsed="false">
      <c r="A1137" s="3" t="s">
        <v>1259</v>
      </c>
      <c r="B1137" s="3" t="s">
        <v>1260</v>
      </c>
      <c r="C1137" s="3" t="n">
        <v>224027</v>
      </c>
      <c r="D1137" s="3" t="s">
        <v>1276</v>
      </c>
      <c r="E1137" s="18" t="n">
        <v>45350</v>
      </c>
      <c r="F1137" s="3" t="s">
        <v>1262</v>
      </c>
      <c r="G1137" s="3" t="s">
        <v>5</v>
      </c>
      <c r="H1137" s="19"/>
      <c r="I1137" s="19"/>
      <c r="J1137" s="20"/>
      <c r="K1137" s="20"/>
      <c r="L1137" s="19"/>
      <c r="M1137" s="19"/>
      <c r="N1137" s="19"/>
      <c r="O1137" s="20"/>
      <c r="P1137" s="20"/>
    </row>
    <row r="1138" customFormat="false" ht="14.25" hidden="false" customHeight="true" outlineLevel="0" collapsed="false">
      <c r="A1138" s="3" t="s">
        <v>1259</v>
      </c>
      <c r="B1138" s="3" t="s">
        <v>1260</v>
      </c>
      <c r="C1138" s="3" t="n">
        <v>224027</v>
      </c>
      <c r="D1138" s="3" t="s">
        <v>1277</v>
      </c>
      <c r="E1138" s="18" t="n">
        <v>45364</v>
      </c>
      <c r="F1138" s="3" t="s">
        <v>1262</v>
      </c>
      <c r="G1138" s="3" t="s">
        <v>5</v>
      </c>
      <c r="H1138" s="19"/>
      <c r="I1138" s="19"/>
      <c r="J1138" s="20"/>
      <c r="K1138" s="20"/>
      <c r="L1138" s="19"/>
      <c r="M1138" s="19"/>
      <c r="N1138" s="19"/>
      <c r="O1138" s="20"/>
      <c r="P1138" s="20"/>
    </row>
    <row r="1139" customFormat="false" ht="14.25" hidden="false" customHeight="true" outlineLevel="0" collapsed="false">
      <c r="A1139" s="3" t="s">
        <v>1259</v>
      </c>
      <c r="B1139" s="3" t="s">
        <v>1260</v>
      </c>
      <c r="C1139" s="3" t="n">
        <v>224027</v>
      </c>
      <c r="D1139" s="3" t="s">
        <v>1412</v>
      </c>
      <c r="E1139" s="18" t="n">
        <v>45371</v>
      </c>
      <c r="F1139" s="3" t="s">
        <v>1262</v>
      </c>
      <c r="G1139" s="3" t="s">
        <v>1275</v>
      </c>
      <c r="H1139" s="19"/>
      <c r="I1139" s="19"/>
      <c r="J1139" s="20"/>
      <c r="K1139" s="20"/>
      <c r="L1139" s="19"/>
      <c r="M1139" s="19"/>
      <c r="N1139" s="19"/>
      <c r="O1139" s="20"/>
      <c r="P1139" s="20"/>
    </row>
    <row r="1140" customFormat="false" ht="14.25" hidden="false" customHeight="true" outlineLevel="0" collapsed="false">
      <c r="A1140" s="3" t="s">
        <v>1259</v>
      </c>
      <c r="B1140" s="3" t="s">
        <v>1260</v>
      </c>
      <c r="C1140" s="3" t="n">
        <v>224027</v>
      </c>
      <c r="D1140" s="3" t="s">
        <v>1278</v>
      </c>
      <c r="E1140" s="18" t="n">
        <v>45378</v>
      </c>
      <c r="F1140" s="3" t="s">
        <v>1262</v>
      </c>
      <c r="G1140" s="3" t="s">
        <v>5</v>
      </c>
      <c r="H1140" s="19"/>
      <c r="I1140" s="19"/>
      <c r="J1140" s="20"/>
      <c r="K1140" s="20"/>
      <c r="L1140" s="19"/>
      <c r="M1140" s="19"/>
      <c r="N1140" s="19"/>
      <c r="O1140" s="20"/>
      <c r="P1140" s="20"/>
    </row>
    <row r="1141" customFormat="false" ht="14.25" hidden="false" customHeight="true" outlineLevel="0" collapsed="false">
      <c r="A1141" s="3" t="s">
        <v>1259</v>
      </c>
      <c r="B1141" s="3" t="s">
        <v>1260</v>
      </c>
      <c r="C1141" s="3" t="n">
        <v>224027</v>
      </c>
      <c r="D1141" s="3" t="s">
        <v>1279</v>
      </c>
      <c r="E1141" s="18" t="n">
        <v>45393</v>
      </c>
      <c r="F1141" s="3" t="s">
        <v>1262</v>
      </c>
      <c r="G1141" s="3" t="s">
        <v>5</v>
      </c>
      <c r="H1141" s="19"/>
      <c r="I1141" s="19"/>
      <c r="J1141" s="20"/>
      <c r="K1141" s="20"/>
      <c r="L1141" s="19"/>
      <c r="M1141" s="19"/>
      <c r="N1141" s="19"/>
      <c r="O1141" s="20"/>
      <c r="P1141" s="20"/>
    </row>
    <row r="1142" customFormat="false" ht="14.25" hidden="false" customHeight="true" outlineLevel="0" collapsed="false">
      <c r="A1142" s="3" t="s">
        <v>1259</v>
      </c>
      <c r="B1142" s="3" t="s">
        <v>1260</v>
      </c>
      <c r="C1142" s="3" t="n">
        <v>224027</v>
      </c>
      <c r="D1142" s="3" t="s">
        <v>1281</v>
      </c>
      <c r="E1142" s="18" t="n">
        <v>45406</v>
      </c>
      <c r="F1142" s="3" t="s">
        <v>1262</v>
      </c>
      <c r="G1142" s="3" t="s">
        <v>5</v>
      </c>
      <c r="H1142" s="19"/>
      <c r="I1142" s="19"/>
      <c r="J1142" s="20"/>
      <c r="K1142" s="20"/>
      <c r="L1142" s="19"/>
      <c r="M1142" s="19"/>
      <c r="N1142" s="19"/>
      <c r="O1142" s="20"/>
      <c r="P1142" s="20"/>
    </row>
    <row r="1143" customFormat="false" ht="14.25" hidden="false" customHeight="true" outlineLevel="0" collapsed="false">
      <c r="A1143" s="3" t="s">
        <v>1259</v>
      </c>
      <c r="B1143" s="3" t="s">
        <v>1260</v>
      </c>
      <c r="C1143" s="3" t="n">
        <v>224027</v>
      </c>
      <c r="D1143" s="3" t="s">
        <v>1282</v>
      </c>
      <c r="E1143" s="18" t="n">
        <v>45420</v>
      </c>
      <c r="F1143" s="3" t="s">
        <v>1262</v>
      </c>
      <c r="G1143" s="3" t="s">
        <v>5</v>
      </c>
      <c r="H1143" s="19"/>
      <c r="I1143" s="19"/>
      <c r="J1143" s="20"/>
      <c r="K1143" s="20"/>
      <c r="L1143" s="19"/>
      <c r="M1143" s="19"/>
      <c r="N1143" s="19"/>
      <c r="O1143" s="20"/>
      <c r="P1143" s="20"/>
    </row>
    <row r="1144" customFormat="false" ht="14.25" hidden="false" customHeight="true" outlineLevel="0" collapsed="false">
      <c r="A1144" s="3" t="s">
        <v>1259</v>
      </c>
      <c r="B1144" s="3" t="s">
        <v>1260</v>
      </c>
      <c r="C1144" s="3" t="n">
        <v>224032</v>
      </c>
      <c r="D1144" s="3" t="s">
        <v>1261</v>
      </c>
      <c r="E1144" s="18" t="n">
        <v>45390</v>
      </c>
      <c r="F1144" s="3" t="s">
        <v>1262</v>
      </c>
      <c r="G1144" s="3" t="s">
        <v>5</v>
      </c>
      <c r="H1144" s="19" t="n">
        <v>45390</v>
      </c>
      <c r="I1144" s="19" t="n">
        <v>45216</v>
      </c>
      <c r="J1144" s="20" t="n">
        <v>44</v>
      </c>
      <c r="K1144" s="20" t="s">
        <v>1263</v>
      </c>
      <c r="L1144" s="19" t="s">
        <v>12</v>
      </c>
      <c r="M1144" s="19"/>
      <c r="N1144" s="19"/>
      <c r="O1144" s="20"/>
      <c r="P1144" s="20"/>
    </row>
    <row r="1145" customFormat="false" ht="14.25" hidden="false" customHeight="true" outlineLevel="0" collapsed="false">
      <c r="A1145" s="3" t="s">
        <v>1259</v>
      </c>
      <c r="B1145" s="3" t="s">
        <v>1260</v>
      </c>
      <c r="C1145" s="3" t="n">
        <v>224032</v>
      </c>
      <c r="D1145" s="3" t="s">
        <v>1264</v>
      </c>
      <c r="E1145" s="18" t="n">
        <v>45414</v>
      </c>
      <c r="F1145" s="3" t="s">
        <v>1262</v>
      </c>
      <c r="G1145" s="3" t="s">
        <v>5</v>
      </c>
      <c r="H1145" s="19"/>
      <c r="I1145" s="19"/>
      <c r="J1145" s="20"/>
      <c r="K1145" s="20"/>
      <c r="L1145" s="19"/>
      <c r="M1145" s="19"/>
      <c r="N1145" s="19"/>
      <c r="O1145" s="20"/>
      <c r="P1145" s="20"/>
    </row>
    <row r="1146" customFormat="false" ht="14.25" hidden="false" customHeight="true" outlineLevel="0" collapsed="false">
      <c r="A1146" s="3" t="s">
        <v>1259</v>
      </c>
      <c r="B1146" s="3" t="s">
        <v>1260</v>
      </c>
      <c r="C1146" s="3" t="n">
        <v>224032</v>
      </c>
      <c r="D1146" s="3" t="s">
        <v>1269</v>
      </c>
      <c r="E1146" s="18" t="n">
        <v>45426</v>
      </c>
      <c r="F1146" s="3" t="s">
        <v>1262</v>
      </c>
      <c r="G1146" s="3" t="s">
        <v>5</v>
      </c>
      <c r="H1146" s="19"/>
      <c r="I1146" s="19"/>
      <c r="J1146" s="20"/>
      <c r="K1146" s="20"/>
      <c r="L1146" s="19"/>
      <c r="M1146" s="19"/>
      <c r="N1146" s="19"/>
      <c r="O1146" s="20"/>
      <c r="P1146" s="20"/>
    </row>
    <row r="1147" customFormat="false" ht="14.25" hidden="false" customHeight="true" outlineLevel="0" collapsed="false">
      <c r="A1147" s="3" t="s">
        <v>1259</v>
      </c>
      <c r="B1147" s="3" t="s">
        <v>1260</v>
      </c>
      <c r="C1147" s="3" t="n">
        <v>225011</v>
      </c>
      <c r="D1147" s="3" t="s">
        <v>1261</v>
      </c>
      <c r="E1147" s="18" t="n">
        <v>45328</v>
      </c>
      <c r="F1147" s="3" t="s">
        <v>1262</v>
      </c>
      <c r="G1147" s="3" t="s">
        <v>5</v>
      </c>
      <c r="H1147" s="19" t="n">
        <v>45328</v>
      </c>
      <c r="I1147" s="19" t="n">
        <v>45216</v>
      </c>
      <c r="J1147" s="20" t="n">
        <v>65</v>
      </c>
      <c r="K1147" s="20" t="s">
        <v>1313</v>
      </c>
      <c r="L1147" s="19" t="s">
        <v>12</v>
      </c>
      <c r="M1147" s="19"/>
      <c r="N1147" s="19"/>
      <c r="O1147" s="20"/>
      <c r="P1147" s="20"/>
    </row>
    <row r="1148" customFormat="false" ht="14.25" hidden="false" customHeight="true" outlineLevel="0" collapsed="false">
      <c r="A1148" s="3" t="s">
        <v>1259</v>
      </c>
      <c r="B1148" s="3" t="s">
        <v>1260</v>
      </c>
      <c r="C1148" s="3" t="n">
        <v>225011</v>
      </c>
      <c r="D1148" s="3" t="s">
        <v>1264</v>
      </c>
      <c r="E1148" s="18" t="n">
        <v>45356</v>
      </c>
      <c r="F1148" s="3" t="s">
        <v>1262</v>
      </c>
      <c r="G1148" s="3" t="s">
        <v>5</v>
      </c>
      <c r="H1148" s="19"/>
      <c r="I1148" s="19"/>
      <c r="J1148" s="20"/>
      <c r="K1148" s="20"/>
      <c r="L1148" s="19"/>
      <c r="M1148" s="19"/>
      <c r="N1148" s="19"/>
      <c r="O1148" s="20"/>
      <c r="P1148" s="20"/>
    </row>
    <row r="1149" customFormat="false" ht="14.25" hidden="false" customHeight="true" outlineLevel="0" collapsed="false">
      <c r="A1149" s="3" t="s">
        <v>1259</v>
      </c>
      <c r="B1149" s="3" t="s">
        <v>1260</v>
      </c>
      <c r="C1149" s="3" t="n">
        <v>225011</v>
      </c>
      <c r="D1149" s="3" t="s">
        <v>1265</v>
      </c>
      <c r="E1149" s="18" t="n">
        <v>45358</v>
      </c>
      <c r="F1149" s="3" t="s">
        <v>1262</v>
      </c>
      <c r="G1149" s="3" t="s">
        <v>5</v>
      </c>
      <c r="H1149" s="19"/>
      <c r="I1149" s="19"/>
      <c r="J1149" s="20"/>
      <c r="K1149" s="20"/>
      <c r="L1149" s="19"/>
      <c r="M1149" s="19"/>
      <c r="N1149" s="19"/>
      <c r="O1149" s="20"/>
      <c r="P1149" s="20"/>
    </row>
    <row r="1150" customFormat="false" ht="14.25" hidden="false" customHeight="true" outlineLevel="0" collapsed="false">
      <c r="A1150" s="3" t="s">
        <v>1259</v>
      </c>
      <c r="B1150" s="3" t="s">
        <v>1260</v>
      </c>
      <c r="C1150" s="3" t="n">
        <v>225011</v>
      </c>
      <c r="D1150" s="3" t="s">
        <v>1266</v>
      </c>
      <c r="E1150" s="18" t="n">
        <v>45363</v>
      </c>
      <c r="F1150" s="3" t="s">
        <v>1262</v>
      </c>
      <c r="G1150" s="3" t="s">
        <v>5</v>
      </c>
      <c r="H1150" s="19"/>
      <c r="I1150" s="19"/>
      <c r="J1150" s="20"/>
      <c r="K1150" s="20"/>
      <c r="L1150" s="19"/>
      <c r="M1150" s="19"/>
      <c r="N1150" s="19"/>
      <c r="O1150" s="20"/>
      <c r="P1150" s="20"/>
    </row>
    <row r="1151" customFormat="false" ht="14.25" hidden="false" customHeight="true" outlineLevel="0" collapsed="false">
      <c r="A1151" s="3" t="s">
        <v>1259</v>
      </c>
      <c r="B1151" s="3" t="s">
        <v>1260</v>
      </c>
      <c r="C1151" s="3" t="n">
        <v>225011</v>
      </c>
      <c r="D1151" s="3" t="s">
        <v>1269</v>
      </c>
      <c r="E1151" s="18" t="n">
        <v>45370</v>
      </c>
      <c r="F1151" s="3" t="s">
        <v>1262</v>
      </c>
      <c r="G1151" s="3" t="s">
        <v>5</v>
      </c>
      <c r="H1151" s="19"/>
      <c r="I1151" s="19"/>
      <c r="J1151" s="20"/>
      <c r="K1151" s="20"/>
      <c r="L1151" s="19"/>
      <c r="M1151" s="19"/>
      <c r="N1151" s="19"/>
      <c r="O1151" s="20"/>
      <c r="P1151" s="20"/>
    </row>
    <row r="1152" customFormat="false" ht="14.25" hidden="false" customHeight="true" outlineLevel="0" collapsed="false">
      <c r="A1152" s="3" t="s">
        <v>1259</v>
      </c>
      <c r="B1152" s="3" t="s">
        <v>1260</v>
      </c>
      <c r="C1152" s="3" t="n">
        <v>225011</v>
      </c>
      <c r="D1152" s="3" t="s">
        <v>1270</v>
      </c>
      <c r="E1152" s="18" t="n">
        <v>45377</v>
      </c>
      <c r="F1152" s="3" t="s">
        <v>1262</v>
      </c>
      <c r="G1152" s="3" t="s">
        <v>5</v>
      </c>
      <c r="H1152" s="19"/>
      <c r="I1152" s="19"/>
      <c r="J1152" s="20"/>
      <c r="K1152" s="20"/>
      <c r="L1152" s="19"/>
      <c r="M1152" s="19"/>
      <c r="N1152" s="19"/>
      <c r="O1152" s="20"/>
      <c r="P1152" s="20"/>
    </row>
    <row r="1153" customFormat="false" ht="14.25" hidden="false" customHeight="true" outlineLevel="0" collapsed="false">
      <c r="A1153" s="3" t="s">
        <v>1259</v>
      </c>
      <c r="B1153" s="3" t="s">
        <v>1260</v>
      </c>
      <c r="C1153" s="3" t="n">
        <v>225011</v>
      </c>
      <c r="D1153" s="3" t="s">
        <v>1271</v>
      </c>
      <c r="E1153" s="18" t="n">
        <v>45383</v>
      </c>
      <c r="F1153" s="3" t="s">
        <v>1262</v>
      </c>
      <c r="G1153" s="3" t="s">
        <v>5</v>
      </c>
      <c r="H1153" s="19"/>
      <c r="I1153" s="19"/>
      <c r="J1153" s="20"/>
      <c r="K1153" s="20"/>
      <c r="L1153" s="19"/>
      <c r="M1153" s="19"/>
      <c r="N1153" s="19"/>
      <c r="O1153" s="20"/>
      <c r="P1153" s="20"/>
    </row>
    <row r="1154" customFormat="false" ht="14.25" hidden="false" customHeight="true" outlineLevel="0" collapsed="false">
      <c r="A1154" s="3" t="s">
        <v>1259</v>
      </c>
      <c r="B1154" s="3" t="s">
        <v>1260</v>
      </c>
      <c r="C1154" s="3" t="n">
        <v>225011</v>
      </c>
      <c r="D1154" s="3" t="s">
        <v>1272</v>
      </c>
      <c r="E1154" s="18" t="n">
        <v>45385</v>
      </c>
      <c r="F1154" s="3" t="s">
        <v>1262</v>
      </c>
      <c r="G1154" s="3" t="s">
        <v>5</v>
      </c>
      <c r="H1154" s="19"/>
      <c r="I1154" s="19"/>
      <c r="J1154" s="20"/>
      <c r="K1154" s="20"/>
      <c r="L1154" s="19"/>
      <c r="M1154" s="19"/>
      <c r="N1154" s="19"/>
      <c r="O1154" s="20"/>
      <c r="P1154" s="20"/>
    </row>
    <row r="1155" customFormat="false" ht="14.25" hidden="false" customHeight="true" outlineLevel="0" collapsed="false">
      <c r="A1155" s="3" t="s">
        <v>1259</v>
      </c>
      <c r="B1155" s="3" t="s">
        <v>1260</v>
      </c>
      <c r="C1155" s="3" t="n">
        <v>225011</v>
      </c>
      <c r="D1155" s="3" t="s">
        <v>1273</v>
      </c>
      <c r="E1155" s="18" t="n">
        <v>45397</v>
      </c>
      <c r="F1155" s="3" t="s">
        <v>1262</v>
      </c>
      <c r="G1155" s="3" t="s">
        <v>5</v>
      </c>
      <c r="H1155" s="19"/>
      <c r="I1155" s="19"/>
      <c r="J1155" s="20"/>
      <c r="K1155" s="20"/>
      <c r="L1155" s="19"/>
      <c r="M1155" s="19"/>
      <c r="N1155" s="19"/>
      <c r="O1155" s="20"/>
      <c r="P1155" s="20"/>
    </row>
    <row r="1156" customFormat="false" ht="14.25" hidden="false" customHeight="true" outlineLevel="0" collapsed="false">
      <c r="A1156" s="3" t="s">
        <v>1259</v>
      </c>
      <c r="B1156" s="3" t="s">
        <v>1260</v>
      </c>
      <c r="C1156" s="3" t="n">
        <v>225011</v>
      </c>
      <c r="D1156" s="3" t="s">
        <v>1276</v>
      </c>
      <c r="E1156" s="18" t="n">
        <v>45412</v>
      </c>
      <c r="F1156" s="3" t="s">
        <v>1262</v>
      </c>
      <c r="G1156" s="3" t="s">
        <v>5</v>
      </c>
      <c r="H1156" s="19"/>
      <c r="I1156" s="19"/>
      <c r="J1156" s="20"/>
      <c r="K1156" s="20"/>
      <c r="L1156" s="19"/>
      <c r="M1156" s="19"/>
      <c r="N1156" s="19"/>
      <c r="O1156" s="20"/>
      <c r="P1156" s="20"/>
    </row>
    <row r="1157" customFormat="false" ht="14.25" hidden="false" customHeight="true" outlineLevel="0" collapsed="false">
      <c r="A1157" s="3" t="s">
        <v>1259</v>
      </c>
      <c r="B1157" s="3" t="s">
        <v>1260</v>
      </c>
      <c r="C1157" s="3" t="n">
        <v>225011</v>
      </c>
      <c r="D1157" s="3" t="s">
        <v>1413</v>
      </c>
      <c r="E1157" s="18" t="n">
        <v>45412</v>
      </c>
      <c r="F1157" s="3" t="s">
        <v>1262</v>
      </c>
      <c r="G1157" s="3" t="s">
        <v>1275</v>
      </c>
      <c r="H1157" s="19"/>
      <c r="I1157" s="19"/>
      <c r="J1157" s="20"/>
      <c r="K1157" s="20"/>
      <c r="L1157" s="19"/>
      <c r="M1157" s="19"/>
      <c r="N1157" s="19"/>
      <c r="O1157" s="20"/>
      <c r="P1157" s="20"/>
    </row>
    <row r="1158" customFormat="false" ht="14.25" hidden="false" customHeight="true" outlineLevel="0" collapsed="false">
      <c r="A1158" s="3" t="s">
        <v>1259</v>
      </c>
      <c r="B1158" s="3" t="s">
        <v>1260</v>
      </c>
      <c r="C1158" s="3" t="n">
        <v>225011</v>
      </c>
      <c r="D1158" s="3" t="s">
        <v>1277</v>
      </c>
      <c r="E1158" s="18" t="n">
        <v>45426</v>
      </c>
      <c r="F1158" s="3" t="s">
        <v>1262</v>
      </c>
      <c r="G1158" s="3" t="s">
        <v>5</v>
      </c>
      <c r="H1158" s="19"/>
      <c r="I1158" s="19"/>
      <c r="J1158" s="20"/>
      <c r="K1158" s="20"/>
      <c r="L1158" s="19"/>
      <c r="M1158" s="19"/>
      <c r="N1158" s="19"/>
      <c r="O1158" s="20"/>
      <c r="P1158" s="20"/>
    </row>
    <row r="1159" customFormat="false" ht="14.25" hidden="false" customHeight="true" outlineLevel="0" collapsed="false">
      <c r="A1159" s="3" t="s">
        <v>1259</v>
      </c>
      <c r="B1159" s="3" t="s">
        <v>1260</v>
      </c>
      <c r="C1159" s="3" t="n">
        <v>225049</v>
      </c>
      <c r="D1159" s="3" t="s">
        <v>1261</v>
      </c>
      <c r="E1159" s="18" t="n">
        <v>45365</v>
      </c>
      <c r="F1159" s="3" t="s">
        <v>1262</v>
      </c>
      <c r="G1159" s="3" t="s">
        <v>5</v>
      </c>
      <c r="H1159" s="19" t="n">
        <v>45365</v>
      </c>
      <c r="I1159" s="19" t="n">
        <v>45216</v>
      </c>
      <c r="J1159" s="20" t="n">
        <v>65</v>
      </c>
      <c r="K1159" s="20" t="s">
        <v>1263</v>
      </c>
      <c r="L1159" s="19" t="s">
        <v>12</v>
      </c>
      <c r="M1159" s="19"/>
      <c r="N1159" s="19"/>
      <c r="O1159" s="20"/>
      <c r="P1159" s="20"/>
    </row>
    <row r="1160" customFormat="false" ht="14.25" hidden="false" customHeight="true" outlineLevel="0" collapsed="false">
      <c r="A1160" s="3" t="s">
        <v>1259</v>
      </c>
      <c r="B1160" s="3" t="s">
        <v>1260</v>
      </c>
      <c r="C1160" s="3" t="n">
        <v>225049</v>
      </c>
      <c r="D1160" s="3" t="s">
        <v>1264</v>
      </c>
      <c r="E1160" s="18" t="n">
        <v>45385</v>
      </c>
      <c r="F1160" s="3" t="s">
        <v>1262</v>
      </c>
      <c r="G1160" s="3" t="s">
        <v>5</v>
      </c>
      <c r="H1160" s="19"/>
      <c r="I1160" s="19"/>
      <c r="J1160" s="20"/>
      <c r="K1160" s="20"/>
      <c r="L1160" s="19"/>
      <c r="M1160" s="19"/>
      <c r="N1160" s="19"/>
      <c r="O1160" s="20"/>
      <c r="P1160" s="20"/>
    </row>
    <row r="1161" customFormat="false" ht="14.25" hidden="false" customHeight="true" outlineLevel="0" collapsed="false">
      <c r="A1161" s="3" t="s">
        <v>1259</v>
      </c>
      <c r="B1161" s="3" t="s">
        <v>1260</v>
      </c>
      <c r="C1161" s="3" t="n">
        <v>225049</v>
      </c>
      <c r="D1161" s="3" t="s">
        <v>1265</v>
      </c>
      <c r="E1161" s="18" t="n">
        <v>45387</v>
      </c>
      <c r="F1161" s="3" t="s">
        <v>1262</v>
      </c>
      <c r="G1161" s="3" t="s">
        <v>5</v>
      </c>
      <c r="H1161" s="19"/>
      <c r="I1161" s="19"/>
      <c r="J1161" s="20"/>
      <c r="K1161" s="20"/>
      <c r="L1161" s="19"/>
      <c r="M1161" s="19"/>
      <c r="N1161" s="19"/>
      <c r="O1161" s="20"/>
      <c r="P1161" s="20"/>
    </row>
    <row r="1162" customFormat="false" ht="14.25" hidden="false" customHeight="true" outlineLevel="0" collapsed="false">
      <c r="A1162" s="3" t="s">
        <v>1259</v>
      </c>
      <c r="B1162" s="3" t="s">
        <v>1260</v>
      </c>
      <c r="C1162" s="3" t="n">
        <v>225049</v>
      </c>
      <c r="D1162" s="3" t="s">
        <v>1266</v>
      </c>
      <c r="E1162" s="18" t="n">
        <v>45393</v>
      </c>
      <c r="F1162" s="3" t="s">
        <v>1262</v>
      </c>
      <c r="G1162" s="3" t="s">
        <v>5</v>
      </c>
      <c r="H1162" s="19"/>
      <c r="I1162" s="19"/>
      <c r="J1162" s="20"/>
      <c r="K1162" s="20"/>
      <c r="L1162" s="19"/>
      <c r="M1162" s="19"/>
      <c r="N1162" s="19"/>
      <c r="O1162" s="20"/>
      <c r="P1162" s="20"/>
    </row>
    <row r="1163" customFormat="false" ht="14.25" hidden="false" customHeight="true" outlineLevel="0" collapsed="false">
      <c r="A1163" s="3" t="s">
        <v>1259</v>
      </c>
      <c r="B1163" s="3" t="s">
        <v>1260</v>
      </c>
      <c r="C1163" s="3" t="n">
        <v>225049</v>
      </c>
      <c r="D1163" s="3" t="s">
        <v>1269</v>
      </c>
      <c r="E1163" s="18" t="n">
        <v>45399</v>
      </c>
      <c r="F1163" s="3" t="s">
        <v>1262</v>
      </c>
      <c r="G1163" s="3" t="s">
        <v>5</v>
      </c>
      <c r="H1163" s="19"/>
      <c r="I1163" s="19"/>
      <c r="J1163" s="20"/>
      <c r="K1163" s="20"/>
      <c r="L1163" s="19"/>
      <c r="M1163" s="19"/>
      <c r="N1163" s="19"/>
      <c r="O1163" s="20"/>
      <c r="P1163" s="20"/>
    </row>
    <row r="1164" customFormat="false" ht="14.25" hidden="false" customHeight="true" outlineLevel="0" collapsed="false">
      <c r="A1164" s="3" t="s">
        <v>1259</v>
      </c>
      <c r="B1164" s="3" t="s">
        <v>1260</v>
      </c>
      <c r="C1164" s="3" t="n">
        <v>225049</v>
      </c>
      <c r="D1164" s="3" t="s">
        <v>1270</v>
      </c>
      <c r="E1164" s="18" t="n">
        <v>45406</v>
      </c>
      <c r="F1164" s="3" t="s">
        <v>1262</v>
      </c>
      <c r="G1164" s="3" t="s">
        <v>5</v>
      </c>
      <c r="H1164" s="19"/>
      <c r="I1164" s="19"/>
      <c r="J1164" s="20"/>
      <c r="K1164" s="20"/>
      <c r="L1164" s="19"/>
      <c r="M1164" s="19"/>
      <c r="N1164" s="19"/>
      <c r="O1164" s="20"/>
      <c r="P1164" s="20"/>
    </row>
    <row r="1165" customFormat="false" ht="14.25" hidden="false" customHeight="true" outlineLevel="0" collapsed="false">
      <c r="A1165" s="3" t="s">
        <v>1259</v>
      </c>
      <c r="B1165" s="3" t="s">
        <v>1260</v>
      </c>
      <c r="C1165" s="3" t="n">
        <v>225049</v>
      </c>
      <c r="D1165" s="3" t="s">
        <v>1271</v>
      </c>
      <c r="E1165" s="18" t="n">
        <v>45412</v>
      </c>
      <c r="F1165" s="3" t="s">
        <v>1262</v>
      </c>
      <c r="G1165" s="3" t="s">
        <v>5</v>
      </c>
      <c r="H1165" s="19"/>
      <c r="I1165" s="19"/>
      <c r="J1165" s="20"/>
      <c r="K1165" s="20"/>
      <c r="L1165" s="19"/>
      <c r="M1165" s="19"/>
      <c r="N1165" s="19"/>
      <c r="O1165" s="20"/>
      <c r="P1165" s="20"/>
    </row>
    <row r="1166" customFormat="false" ht="14.25" hidden="false" customHeight="true" outlineLevel="0" collapsed="false">
      <c r="A1166" s="3" t="s">
        <v>1259</v>
      </c>
      <c r="B1166" s="3" t="s">
        <v>1260</v>
      </c>
      <c r="C1166" s="3" t="n">
        <v>225049</v>
      </c>
      <c r="D1166" s="3" t="s">
        <v>1272</v>
      </c>
      <c r="E1166" s="18" t="n">
        <v>45414</v>
      </c>
      <c r="F1166" s="3" t="s">
        <v>1262</v>
      </c>
      <c r="G1166" s="3" t="s">
        <v>5</v>
      </c>
      <c r="H1166" s="19"/>
      <c r="I1166" s="19"/>
      <c r="J1166" s="20"/>
      <c r="K1166" s="20"/>
      <c r="L1166" s="19"/>
      <c r="M1166" s="19"/>
      <c r="N1166" s="19"/>
      <c r="O1166" s="20"/>
      <c r="P1166" s="20"/>
    </row>
    <row r="1167" customFormat="false" ht="14.25" hidden="false" customHeight="true" outlineLevel="0" collapsed="false">
      <c r="A1167" s="3" t="s">
        <v>1259</v>
      </c>
      <c r="B1167" s="3" t="s">
        <v>1260</v>
      </c>
      <c r="C1167" s="3" t="n">
        <v>225049</v>
      </c>
      <c r="D1167" s="3" t="s">
        <v>1273</v>
      </c>
      <c r="E1167" s="18" t="n">
        <v>45426</v>
      </c>
      <c r="F1167" s="3" t="s">
        <v>1262</v>
      </c>
      <c r="G1167" s="3" t="s">
        <v>5</v>
      </c>
      <c r="H1167" s="19"/>
      <c r="I1167" s="19"/>
      <c r="J1167" s="20"/>
      <c r="K1167" s="20"/>
      <c r="L1167" s="19"/>
      <c r="M1167" s="19"/>
      <c r="N1167" s="19"/>
      <c r="O1167" s="20"/>
      <c r="P1167" s="20"/>
    </row>
    <row r="1168" customFormat="false" ht="14.25" hidden="false" customHeight="true" outlineLevel="0" collapsed="false">
      <c r="A1168" s="3" t="s">
        <v>1259</v>
      </c>
      <c r="B1168" s="3" t="s">
        <v>1260</v>
      </c>
      <c r="C1168" s="3" t="n">
        <v>225050</v>
      </c>
      <c r="D1168" s="3" t="s">
        <v>1261</v>
      </c>
      <c r="E1168" s="18" t="n">
        <v>45365</v>
      </c>
      <c r="F1168" s="3" t="s">
        <v>1262</v>
      </c>
      <c r="G1168" s="3" t="s">
        <v>5</v>
      </c>
      <c r="H1168" s="19" t="n">
        <v>45365</v>
      </c>
      <c r="I1168" s="19" t="n">
        <v>45216</v>
      </c>
      <c r="J1168" s="20" t="n">
        <v>38</v>
      </c>
      <c r="K1168" s="20" t="s">
        <v>1313</v>
      </c>
      <c r="L1168" s="19" t="s">
        <v>12</v>
      </c>
      <c r="M1168" s="19"/>
      <c r="N1168" s="19"/>
      <c r="O1168" s="20"/>
      <c r="P1168" s="20"/>
    </row>
    <row r="1169" customFormat="false" ht="14.25" hidden="false" customHeight="true" outlineLevel="0" collapsed="false">
      <c r="A1169" s="3" t="s">
        <v>1259</v>
      </c>
      <c r="B1169" s="3" t="s">
        <v>1260</v>
      </c>
      <c r="C1169" s="3" t="n">
        <v>225050</v>
      </c>
      <c r="D1169" s="3" t="s">
        <v>1264</v>
      </c>
      <c r="E1169" s="18" t="n">
        <v>45383</v>
      </c>
      <c r="F1169" s="3" t="s">
        <v>1262</v>
      </c>
      <c r="G1169" s="3" t="s">
        <v>5</v>
      </c>
      <c r="H1169" s="19"/>
      <c r="I1169" s="19"/>
      <c r="J1169" s="20"/>
      <c r="K1169" s="20"/>
      <c r="L1169" s="19"/>
      <c r="M1169" s="19"/>
      <c r="N1169" s="19"/>
      <c r="O1169" s="20"/>
      <c r="P1169" s="20"/>
    </row>
    <row r="1170" customFormat="false" ht="14.25" hidden="false" customHeight="true" outlineLevel="0" collapsed="false">
      <c r="A1170" s="3" t="s">
        <v>1259</v>
      </c>
      <c r="B1170" s="3" t="s">
        <v>1260</v>
      </c>
      <c r="C1170" s="3" t="n">
        <v>225050</v>
      </c>
      <c r="D1170" s="3" t="s">
        <v>1265</v>
      </c>
      <c r="E1170" s="18" t="n">
        <v>45385</v>
      </c>
      <c r="F1170" s="3" t="s">
        <v>1262</v>
      </c>
      <c r="G1170" s="3" t="s">
        <v>5</v>
      </c>
      <c r="H1170" s="19"/>
      <c r="I1170" s="19"/>
      <c r="J1170" s="20"/>
      <c r="K1170" s="20"/>
      <c r="L1170" s="19"/>
      <c r="M1170" s="19"/>
      <c r="N1170" s="19"/>
      <c r="O1170" s="20"/>
      <c r="P1170" s="20"/>
    </row>
    <row r="1171" customFormat="false" ht="14.25" hidden="false" customHeight="true" outlineLevel="0" collapsed="false">
      <c r="A1171" s="3" t="s">
        <v>1259</v>
      </c>
      <c r="B1171" s="3" t="s">
        <v>1260</v>
      </c>
      <c r="C1171" s="3" t="n">
        <v>225050</v>
      </c>
      <c r="D1171" s="3" t="s">
        <v>1266</v>
      </c>
      <c r="E1171" s="18" t="n">
        <v>45390</v>
      </c>
      <c r="F1171" s="3" t="s">
        <v>1262</v>
      </c>
      <c r="G1171" s="3" t="s">
        <v>5</v>
      </c>
      <c r="H1171" s="19"/>
      <c r="I1171" s="19"/>
      <c r="J1171" s="20"/>
      <c r="K1171" s="20"/>
      <c r="L1171" s="19"/>
      <c r="M1171" s="19"/>
      <c r="N1171" s="19"/>
      <c r="O1171" s="20"/>
      <c r="P1171" s="20"/>
    </row>
    <row r="1172" customFormat="false" ht="14.25" hidden="false" customHeight="true" outlineLevel="0" collapsed="false">
      <c r="A1172" s="3" t="s">
        <v>1259</v>
      </c>
      <c r="B1172" s="3" t="s">
        <v>1260</v>
      </c>
      <c r="C1172" s="3" t="n">
        <v>225050</v>
      </c>
      <c r="D1172" s="3" t="s">
        <v>1269</v>
      </c>
      <c r="E1172" s="18" t="n">
        <v>45397</v>
      </c>
      <c r="F1172" s="3" t="s">
        <v>1262</v>
      </c>
      <c r="G1172" s="3" t="s">
        <v>5</v>
      </c>
      <c r="H1172" s="19"/>
      <c r="I1172" s="19"/>
      <c r="J1172" s="20"/>
      <c r="K1172" s="20"/>
      <c r="L1172" s="19"/>
      <c r="M1172" s="19"/>
      <c r="N1172" s="19"/>
      <c r="O1172" s="20"/>
      <c r="P1172" s="20"/>
    </row>
    <row r="1173" customFormat="false" ht="14.25" hidden="false" customHeight="true" outlineLevel="0" collapsed="false">
      <c r="A1173" s="3" t="s">
        <v>1259</v>
      </c>
      <c r="B1173" s="3" t="s">
        <v>1260</v>
      </c>
      <c r="C1173" s="3" t="n">
        <v>225050</v>
      </c>
      <c r="D1173" s="3" t="s">
        <v>1270</v>
      </c>
      <c r="E1173" s="18" t="n">
        <v>45404</v>
      </c>
      <c r="F1173" s="3" t="s">
        <v>1262</v>
      </c>
      <c r="G1173" s="3" t="s">
        <v>5</v>
      </c>
      <c r="H1173" s="19"/>
      <c r="I1173" s="19"/>
      <c r="J1173" s="20"/>
      <c r="K1173" s="20"/>
      <c r="L1173" s="19"/>
      <c r="M1173" s="19"/>
      <c r="N1173" s="19"/>
      <c r="O1173" s="20"/>
      <c r="P1173" s="20"/>
    </row>
    <row r="1174" customFormat="false" ht="14.25" hidden="false" customHeight="true" outlineLevel="0" collapsed="false">
      <c r="A1174" s="3" t="s">
        <v>1259</v>
      </c>
      <c r="B1174" s="3" t="s">
        <v>1260</v>
      </c>
      <c r="C1174" s="3" t="n">
        <v>225050</v>
      </c>
      <c r="D1174" s="3" t="s">
        <v>1271</v>
      </c>
      <c r="E1174" s="18" t="n">
        <v>45412</v>
      </c>
      <c r="F1174" s="3" t="s">
        <v>1262</v>
      </c>
      <c r="G1174" s="3" t="s">
        <v>5</v>
      </c>
      <c r="H1174" s="19"/>
      <c r="I1174" s="19"/>
      <c r="J1174" s="20"/>
      <c r="K1174" s="20"/>
      <c r="L1174" s="19"/>
      <c r="M1174" s="19"/>
      <c r="N1174" s="19"/>
      <c r="O1174" s="20"/>
      <c r="P1174" s="20"/>
    </row>
    <row r="1175" customFormat="false" ht="14.25" hidden="false" customHeight="true" outlineLevel="0" collapsed="false">
      <c r="A1175" s="3" t="s">
        <v>1259</v>
      </c>
      <c r="B1175" s="3" t="s">
        <v>1260</v>
      </c>
      <c r="C1175" s="3" t="n">
        <v>225055</v>
      </c>
      <c r="D1175" s="3" t="s">
        <v>1261</v>
      </c>
      <c r="E1175" s="18" t="n">
        <v>45370</v>
      </c>
      <c r="F1175" s="3" t="s">
        <v>1262</v>
      </c>
      <c r="G1175" s="3" t="s">
        <v>5</v>
      </c>
      <c r="H1175" s="19" t="n">
        <v>45370</v>
      </c>
      <c r="I1175" s="19" t="n">
        <v>45216</v>
      </c>
      <c r="J1175" s="20" t="n">
        <v>73</v>
      </c>
      <c r="K1175" s="20" t="s">
        <v>1313</v>
      </c>
      <c r="L1175" s="19" t="s">
        <v>12</v>
      </c>
      <c r="M1175" s="19"/>
      <c r="N1175" s="19"/>
      <c r="O1175" s="20"/>
      <c r="P1175" s="20"/>
    </row>
    <row r="1176" customFormat="false" ht="14.25" hidden="false" customHeight="true" outlineLevel="0" collapsed="false">
      <c r="A1176" s="3" t="s">
        <v>1259</v>
      </c>
      <c r="B1176" s="3" t="s">
        <v>1260</v>
      </c>
      <c r="C1176" s="3" t="n">
        <v>225055</v>
      </c>
      <c r="D1176" s="3" t="s">
        <v>1264</v>
      </c>
      <c r="E1176" s="18" t="n">
        <v>45390</v>
      </c>
      <c r="F1176" s="3" t="s">
        <v>1262</v>
      </c>
      <c r="G1176" s="3" t="s">
        <v>5</v>
      </c>
      <c r="H1176" s="19"/>
      <c r="I1176" s="19"/>
      <c r="J1176" s="20"/>
      <c r="K1176" s="20"/>
      <c r="L1176" s="19"/>
      <c r="M1176" s="19"/>
      <c r="N1176" s="19"/>
      <c r="O1176" s="20"/>
      <c r="P1176" s="20"/>
    </row>
    <row r="1177" customFormat="false" ht="14.25" hidden="false" customHeight="true" outlineLevel="0" collapsed="false">
      <c r="A1177" s="3" t="s">
        <v>1259</v>
      </c>
      <c r="B1177" s="3" t="s">
        <v>1260</v>
      </c>
      <c r="C1177" s="3" t="n">
        <v>225055</v>
      </c>
      <c r="D1177" s="3" t="s">
        <v>1266</v>
      </c>
      <c r="E1177" s="18" t="n">
        <v>45397</v>
      </c>
      <c r="F1177" s="3" t="s">
        <v>1262</v>
      </c>
      <c r="G1177" s="3" t="s">
        <v>5</v>
      </c>
      <c r="H1177" s="19"/>
      <c r="I1177" s="19"/>
      <c r="J1177" s="20"/>
      <c r="K1177" s="20"/>
      <c r="L1177" s="19"/>
      <c r="M1177" s="19"/>
      <c r="N1177" s="19"/>
      <c r="O1177" s="20"/>
      <c r="P1177" s="20"/>
    </row>
    <row r="1178" customFormat="false" ht="14.25" hidden="false" customHeight="true" outlineLevel="0" collapsed="false">
      <c r="A1178" s="3" t="s">
        <v>1259</v>
      </c>
      <c r="B1178" s="3" t="s">
        <v>1260</v>
      </c>
      <c r="C1178" s="3" t="n">
        <v>225055</v>
      </c>
      <c r="D1178" s="3" t="s">
        <v>1269</v>
      </c>
      <c r="E1178" s="18" t="n">
        <v>45404</v>
      </c>
      <c r="F1178" s="3" t="s">
        <v>1262</v>
      </c>
      <c r="G1178" s="3" t="s">
        <v>5</v>
      </c>
      <c r="H1178" s="19"/>
      <c r="I1178" s="19"/>
      <c r="J1178" s="20"/>
      <c r="K1178" s="20"/>
      <c r="L1178" s="19"/>
      <c r="M1178" s="19"/>
      <c r="N1178" s="19"/>
      <c r="O1178" s="20"/>
      <c r="P1178" s="20"/>
    </row>
    <row r="1179" customFormat="false" ht="14.25" hidden="false" customHeight="true" outlineLevel="0" collapsed="false">
      <c r="A1179" s="3" t="s">
        <v>1259</v>
      </c>
      <c r="B1179" s="3" t="s">
        <v>1260</v>
      </c>
      <c r="C1179" s="3" t="n">
        <v>225055</v>
      </c>
      <c r="D1179" s="3" t="s">
        <v>1270</v>
      </c>
      <c r="E1179" s="18" t="n">
        <v>45411</v>
      </c>
      <c r="F1179" s="3" t="s">
        <v>1262</v>
      </c>
      <c r="G1179" s="3" t="s">
        <v>5</v>
      </c>
      <c r="H1179" s="19"/>
      <c r="I1179" s="19"/>
      <c r="J1179" s="20"/>
      <c r="K1179" s="20"/>
      <c r="L1179" s="19"/>
      <c r="M1179" s="19"/>
      <c r="N1179" s="19"/>
      <c r="O1179" s="20"/>
      <c r="P1179" s="20"/>
    </row>
    <row r="1180" customFormat="false" ht="14.25" hidden="false" customHeight="true" outlineLevel="0" collapsed="false">
      <c r="A1180" s="3" t="s">
        <v>1259</v>
      </c>
      <c r="B1180" s="3" t="s">
        <v>1260</v>
      </c>
      <c r="C1180" s="3" t="n">
        <v>225055</v>
      </c>
      <c r="D1180" s="3" t="s">
        <v>1271</v>
      </c>
      <c r="E1180" s="18" t="n">
        <v>45419</v>
      </c>
      <c r="F1180" s="3" t="s">
        <v>1262</v>
      </c>
      <c r="G1180" s="3" t="s">
        <v>5</v>
      </c>
      <c r="H1180" s="19"/>
      <c r="I1180" s="19"/>
      <c r="J1180" s="20"/>
      <c r="K1180" s="20"/>
      <c r="L1180" s="19"/>
      <c r="M1180" s="19"/>
      <c r="N1180" s="19"/>
      <c r="O1180" s="20"/>
      <c r="P1180" s="20"/>
    </row>
    <row r="1181" customFormat="false" ht="14.25" hidden="false" customHeight="true" outlineLevel="0" collapsed="false">
      <c r="A1181" s="3" t="s">
        <v>1259</v>
      </c>
      <c r="B1181" s="3" t="s">
        <v>1260</v>
      </c>
      <c r="C1181" s="3" t="n">
        <v>225055</v>
      </c>
      <c r="D1181" s="3" t="s">
        <v>1265</v>
      </c>
      <c r="F1181" s="3" t="s">
        <v>1262</v>
      </c>
      <c r="G1181" s="3" t="s">
        <v>5</v>
      </c>
      <c r="H1181" s="19"/>
      <c r="I1181" s="19"/>
      <c r="J1181" s="20"/>
      <c r="K1181" s="20"/>
      <c r="L1181" s="19"/>
      <c r="M1181" s="19"/>
      <c r="N1181" s="19"/>
      <c r="O1181" s="20"/>
      <c r="P1181" s="20"/>
    </row>
    <row r="1182" customFormat="false" ht="14.25" hidden="false" customHeight="true" outlineLevel="0" collapsed="false">
      <c r="A1182" s="3" t="s">
        <v>1259</v>
      </c>
      <c r="B1182" s="3" t="s">
        <v>1260</v>
      </c>
      <c r="C1182" s="3" t="n">
        <v>225079</v>
      </c>
      <c r="D1182" s="3" t="s">
        <v>1261</v>
      </c>
      <c r="E1182" s="18" t="n">
        <v>45386</v>
      </c>
      <c r="F1182" s="3" t="s">
        <v>1333</v>
      </c>
      <c r="G1182" s="3" t="s">
        <v>5</v>
      </c>
      <c r="H1182" s="19" t="n">
        <v>45386</v>
      </c>
      <c r="I1182" s="19" t="n">
        <v>45337</v>
      </c>
      <c r="J1182" s="20" t="n">
        <v>53</v>
      </c>
      <c r="K1182" s="20" t="s">
        <v>1313</v>
      </c>
      <c r="L1182" s="19" t="s">
        <v>12</v>
      </c>
      <c r="M1182" s="19" t="s">
        <v>1334</v>
      </c>
      <c r="N1182" s="19" t="n">
        <v>45412</v>
      </c>
      <c r="O1182" s="20"/>
      <c r="P1182" s="20" t="s">
        <v>1335</v>
      </c>
    </row>
    <row r="1183" customFormat="false" ht="14.25" hidden="false" customHeight="true" outlineLevel="0" collapsed="false">
      <c r="A1183" s="3" t="s">
        <v>1259</v>
      </c>
      <c r="B1183" s="3" t="s">
        <v>1260</v>
      </c>
      <c r="C1183" s="3" t="n">
        <v>225080</v>
      </c>
      <c r="D1183" s="3" t="s">
        <v>1261</v>
      </c>
      <c r="E1183" s="18" t="n">
        <v>45386</v>
      </c>
      <c r="F1183" s="3" t="s">
        <v>1262</v>
      </c>
      <c r="G1183" s="3" t="s">
        <v>5</v>
      </c>
      <c r="H1183" s="19" t="n">
        <v>45386</v>
      </c>
      <c r="I1183" s="19" t="n">
        <v>45337</v>
      </c>
      <c r="J1183" s="20" t="n">
        <v>71</v>
      </c>
      <c r="K1183" s="20" t="s">
        <v>1313</v>
      </c>
      <c r="L1183" s="19" t="s">
        <v>12</v>
      </c>
      <c r="M1183" s="19"/>
      <c r="N1183" s="19"/>
      <c r="O1183" s="20"/>
      <c r="P1183" s="20"/>
    </row>
    <row r="1184" customFormat="false" ht="14.25" hidden="false" customHeight="true" outlineLevel="0" collapsed="false">
      <c r="A1184" s="3" t="s">
        <v>1259</v>
      </c>
      <c r="B1184" s="3" t="s">
        <v>1260</v>
      </c>
      <c r="C1184" s="3" t="n">
        <v>225080</v>
      </c>
      <c r="D1184" s="3" t="s">
        <v>1264</v>
      </c>
      <c r="E1184" s="18" t="n">
        <v>45412</v>
      </c>
      <c r="F1184" s="3" t="s">
        <v>1262</v>
      </c>
      <c r="G1184" s="3" t="s">
        <v>5</v>
      </c>
      <c r="H1184" s="19"/>
      <c r="I1184" s="19"/>
      <c r="J1184" s="20"/>
      <c r="K1184" s="20"/>
      <c r="L1184" s="19"/>
      <c r="M1184" s="19"/>
      <c r="N1184" s="19"/>
      <c r="O1184" s="20"/>
      <c r="P1184" s="20"/>
    </row>
    <row r="1185" customFormat="false" ht="14.25" hidden="false" customHeight="true" outlineLevel="0" collapsed="false">
      <c r="A1185" s="3" t="s">
        <v>1259</v>
      </c>
      <c r="B1185" s="3" t="s">
        <v>1260</v>
      </c>
      <c r="C1185" s="3" t="n">
        <v>225080</v>
      </c>
      <c r="D1185" s="3" t="s">
        <v>1265</v>
      </c>
      <c r="E1185" s="18" t="n">
        <v>45414</v>
      </c>
      <c r="F1185" s="3" t="s">
        <v>1262</v>
      </c>
      <c r="G1185" s="3" t="s">
        <v>5</v>
      </c>
      <c r="H1185" s="19"/>
      <c r="I1185" s="19"/>
      <c r="J1185" s="20"/>
      <c r="K1185" s="20"/>
      <c r="L1185" s="19"/>
      <c r="M1185" s="19"/>
      <c r="N1185" s="19"/>
      <c r="O1185" s="20"/>
      <c r="P1185" s="20"/>
    </row>
    <row r="1186" customFormat="false" ht="14.25" hidden="false" customHeight="true" outlineLevel="0" collapsed="false">
      <c r="A1186" s="3" t="s">
        <v>1259</v>
      </c>
      <c r="B1186" s="3" t="s">
        <v>1260</v>
      </c>
      <c r="C1186" s="3" t="n">
        <v>225080</v>
      </c>
      <c r="D1186" s="3" t="s">
        <v>1266</v>
      </c>
      <c r="E1186" s="18" t="n">
        <v>45419</v>
      </c>
      <c r="F1186" s="3" t="s">
        <v>1262</v>
      </c>
      <c r="G1186" s="3" t="s">
        <v>5</v>
      </c>
      <c r="H1186" s="19"/>
      <c r="I1186" s="19"/>
      <c r="J1186" s="20"/>
      <c r="K1186" s="20"/>
      <c r="L1186" s="19"/>
      <c r="M1186" s="19"/>
      <c r="N1186" s="19"/>
      <c r="O1186" s="20"/>
      <c r="P1186" s="20"/>
    </row>
    <row r="1187" customFormat="false" ht="14.25" hidden="false" customHeight="true" outlineLevel="0" collapsed="false">
      <c r="A1187" s="3" t="s">
        <v>1259</v>
      </c>
      <c r="B1187" s="3" t="s">
        <v>1260</v>
      </c>
      <c r="C1187" s="3" t="n">
        <v>225080</v>
      </c>
      <c r="D1187" s="3" t="s">
        <v>1269</v>
      </c>
      <c r="E1187" s="18" t="n">
        <v>45426</v>
      </c>
      <c r="F1187" s="3" t="s">
        <v>1262</v>
      </c>
      <c r="G1187" s="3" t="s">
        <v>5</v>
      </c>
      <c r="H1187" s="19"/>
      <c r="I1187" s="19"/>
      <c r="J1187" s="20"/>
      <c r="K1187" s="20"/>
      <c r="L1187" s="19"/>
      <c r="M1187" s="19"/>
      <c r="N1187" s="19"/>
      <c r="O1187" s="20"/>
      <c r="P1187" s="20"/>
    </row>
    <row r="1188" customFormat="false" ht="14.25" hidden="false" customHeight="true" outlineLevel="0" collapsed="false">
      <c r="A1188" s="3" t="s">
        <v>1259</v>
      </c>
      <c r="B1188" s="3" t="s">
        <v>1260</v>
      </c>
      <c r="C1188" s="3" t="n">
        <v>225089</v>
      </c>
      <c r="D1188" s="3" t="s">
        <v>1261</v>
      </c>
      <c r="E1188" s="18" t="n">
        <v>45394</v>
      </c>
      <c r="F1188" s="3" t="s">
        <v>1262</v>
      </c>
      <c r="G1188" s="3" t="s">
        <v>5</v>
      </c>
      <c r="H1188" s="19" t="n">
        <v>45394</v>
      </c>
      <c r="I1188" s="19" t="n">
        <v>45216</v>
      </c>
      <c r="J1188" s="20" t="n">
        <v>74</v>
      </c>
      <c r="K1188" s="20" t="s">
        <v>1263</v>
      </c>
      <c r="L1188" s="19" t="s">
        <v>12</v>
      </c>
      <c r="M1188" s="19"/>
      <c r="N1188" s="19"/>
      <c r="O1188" s="20"/>
      <c r="P1188" s="20"/>
    </row>
    <row r="1189" customFormat="false" ht="14.25" hidden="false" customHeight="true" outlineLevel="0" collapsed="false">
      <c r="A1189" s="3" t="s">
        <v>1259</v>
      </c>
      <c r="B1189" s="3" t="s">
        <v>1260</v>
      </c>
      <c r="C1189" s="3" t="n">
        <v>225089</v>
      </c>
      <c r="D1189" s="3" t="s">
        <v>1264</v>
      </c>
      <c r="E1189" s="18" t="n">
        <v>45421</v>
      </c>
      <c r="F1189" s="3" t="s">
        <v>1262</v>
      </c>
      <c r="G1189" s="3" t="s">
        <v>5</v>
      </c>
      <c r="H1189" s="19"/>
      <c r="I1189" s="19"/>
      <c r="J1189" s="20"/>
      <c r="K1189" s="20"/>
      <c r="L1189" s="19"/>
      <c r="M1189" s="19"/>
      <c r="N1189" s="19"/>
      <c r="O1189" s="20"/>
      <c r="P1189" s="20"/>
    </row>
    <row r="1190" customFormat="false" ht="14.25" hidden="false" customHeight="true" outlineLevel="0" collapsed="false">
      <c r="A1190" s="3" t="s">
        <v>1259</v>
      </c>
      <c r="B1190" s="3" t="s">
        <v>1260</v>
      </c>
      <c r="C1190" s="3" t="n">
        <v>225089</v>
      </c>
      <c r="D1190" s="3" t="s">
        <v>1265</v>
      </c>
      <c r="E1190" s="18" t="n">
        <v>45422</v>
      </c>
      <c r="F1190" s="3" t="s">
        <v>1262</v>
      </c>
      <c r="G1190" s="3" t="s">
        <v>5</v>
      </c>
      <c r="H1190" s="19"/>
      <c r="I1190" s="19"/>
      <c r="J1190" s="20"/>
      <c r="K1190" s="20"/>
      <c r="L1190" s="19"/>
      <c r="M1190" s="19"/>
      <c r="N1190" s="19"/>
      <c r="O1190" s="20"/>
      <c r="P1190" s="20"/>
    </row>
    <row r="1191" customFormat="false" ht="14.25" hidden="false" customHeight="true" outlineLevel="0" collapsed="false">
      <c r="A1191" s="3" t="s">
        <v>1259</v>
      </c>
      <c r="B1191" s="3" t="s">
        <v>1260</v>
      </c>
      <c r="C1191" s="3" t="n">
        <v>225089</v>
      </c>
      <c r="D1191" s="3" t="s">
        <v>1266</v>
      </c>
      <c r="E1191" s="18" t="n">
        <v>45428</v>
      </c>
      <c r="F1191" s="3" t="s">
        <v>1262</v>
      </c>
      <c r="G1191" s="3" t="s">
        <v>5</v>
      </c>
      <c r="H1191" s="19"/>
      <c r="I1191" s="19"/>
      <c r="J1191" s="20"/>
      <c r="K1191" s="20"/>
      <c r="L1191" s="19"/>
      <c r="M1191" s="19"/>
      <c r="N1191" s="19"/>
      <c r="O1191" s="20"/>
      <c r="P1191" s="20"/>
    </row>
    <row r="1192" customFormat="false" ht="14.25" hidden="false" customHeight="true" outlineLevel="0" collapsed="false">
      <c r="A1192" s="3" t="s">
        <v>1259</v>
      </c>
      <c r="B1192" s="3" t="s">
        <v>1260</v>
      </c>
      <c r="C1192" s="3" t="n">
        <v>225089</v>
      </c>
      <c r="D1192" s="3" t="s">
        <v>1269</v>
      </c>
      <c r="E1192" s="18" t="n">
        <v>45435</v>
      </c>
      <c r="F1192" s="3" t="s">
        <v>1262</v>
      </c>
      <c r="G1192" s="3" t="s">
        <v>5</v>
      </c>
      <c r="H1192" s="19"/>
      <c r="I1192" s="19"/>
      <c r="J1192" s="20"/>
      <c r="K1192" s="20"/>
      <c r="L1192" s="19"/>
      <c r="M1192" s="19"/>
      <c r="N1192" s="19"/>
      <c r="O1192" s="20"/>
      <c r="P1192" s="20"/>
    </row>
    <row r="1193" customFormat="false" ht="14.25" hidden="false" customHeight="true" outlineLevel="0" collapsed="false">
      <c r="A1193" s="3" t="s">
        <v>1259</v>
      </c>
      <c r="B1193" s="3" t="s">
        <v>1260</v>
      </c>
      <c r="C1193" s="3" t="n">
        <v>226002</v>
      </c>
      <c r="D1193" s="3" t="s">
        <v>1261</v>
      </c>
      <c r="E1193" s="18" t="n">
        <v>45069</v>
      </c>
      <c r="F1193" s="3" t="s">
        <v>1262</v>
      </c>
      <c r="G1193" s="3" t="s">
        <v>5</v>
      </c>
      <c r="H1193" s="19" t="n">
        <v>45069</v>
      </c>
      <c r="I1193" s="19" t="n">
        <v>44957</v>
      </c>
      <c r="J1193" s="20" t="n">
        <v>52</v>
      </c>
      <c r="K1193" s="20" t="s">
        <v>1313</v>
      </c>
      <c r="L1193" s="19" t="s">
        <v>12</v>
      </c>
      <c r="M1193" s="19"/>
      <c r="N1193" s="19"/>
      <c r="O1193" s="20"/>
      <c r="P1193" s="20"/>
    </row>
    <row r="1194" customFormat="false" ht="14.25" hidden="false" customHeight="true" outlineLevel="0" collapsed="false">
      <c r="A1194" s="3" t="s">
        <v>1259</v>
      </c>
      <c r="B1194" s="3" t="s">
        <v>1260</v>
      </c>
      <c r="C1194" s="3" t="n">
        <v>226002</v>
      </c>
      <c r="D1194" s="3" t="s">
        <v>1264</v>
      </c>
      <c r="E1194" s="18" t="n">
        <v>45089</v>
      </c>
      <c r="F1194" s="3" t="s">
        <v>1262</v>
      </c>
      <c r="G1194" s="3" t="s">
        <v>5</v>
      </c>
      <c r="H1194" s="19"/>
      <c r="I1194" s="19"/>
      <c r="J1194" s="20"/>
      <c r="K1194" s="20"/>
      <c r="L1194" s="19"/>
      <c r="M1194" s="19"/>
      <c r="N1194" s="19"/>
      <c r="O1194" s="20"/>
      <c r="P1194" s="20"/>
    </row>
    <row r="1195" customFormat="false" ht="14.25" hidden="false" customHeight="true" outlineLevel="0" collapsed="false">
      <c r="A1195" s="3" t="s">
        <v>1259</v>
      </c>
      <c r="B1195" s="3" t="s">
        <v>1260</v>
      </c>
      <c r="C1195" s="3" t="n">
        <v>226002</v>
      </c>
      <c r="D1195" s="3" t="s">
        <v>1265</v>
      </c>
      <c r="E1195" s="18" t="n">
        <v>45091</v>
      </c>
      <c r="F1195" s="3" t="s">
        <v>1262</v>
      </c>
      <c r="G1195" s="3" t="s">
        <v>5</v>
      </c>
      <c r="H1195" s="19"/>
      <c r="I1195" s="19"/>
      <c r="J1195" s="20"/>
      <c r="K1195" s="20"/>
      <c r="L1195" s="19"/>
      <c r="M1195" s="19"/>
      <c r="N1195" s="19"/>
      <c r="O1195" s="20"/>
      <c r="P1195" s="20"/>
    </row>
    <row r="1196" customFormat="false" ht="14.25" hidden="false" customHeight="true" outlineLevel="0" collapsed="false">
      <c r="A1196" s="3" t="s">
        <v>1259</v>
      </c>
      <c r="B1196" s="3" t="s">
        <v>1260</v>
      </c>
      <c r="C1196" s="3" t="n">
        <v>226002</v>
      </c>
      <c r="D1196" s="3" t="s">
        <v>1266</v>
      </c>
      <c r="E1196" s="18" t="n">
        <v>45096</v>
      </c>
      <c r="F1196" s="3" t="s">
        <v>1262</v>
      </c>
      <c r="G1196" s="3" t="s">
        <v>5</v>
      </c>
      <c r="H1196" s="19"/>
      <c r="I1196" s="19"/>
      <c r="J1196" s="20"/>
      <c r="K1196" s="20"/>
      <c r="L1196" s="19"/>
      <c r="M1196" s="19"/>
      <c r="N1196" s="19"/>
      <c r="O1196" s="20"/>
      <c r="P1196" s="20"/>
    </row>
    <row r="1197" customFormat="false" ht="14.25" hidden="false" customHeight="true" outlineLevel="0" collapsed="false">
      <c r="A1197" s="3" t="s">
        <v>1259</v>
      </c>
      <c r="B1197" s="3" t="s">
        <v>1260</v>
      </c>
      <c r="C1197" s="3" t="n">
        <v>226002</v>
      </c>
      <c r="D1197" s="3" t="s">
        <v>1269</v>
      </c>
      <c r="E1197" s="18" t="n">
        <v>45103</v>
      </c>
      <c r="F1197" s="3" t="s">
        <v>1262</v>
      </c>
      <c r="G1197" s="3" t="s">
        <v>5</v>
      </c>
      <c r="H1197" s="19"/>
      <c r="I1197" s="19"/>
      <c r="J1197" s="20"/>
      <c r="K1197" s="20"/>
      <c r="L1197" s="19"/>
      <c r="M1197" s="19"/>
      <c r="N1197" s="19"/>
      <c r="O1197" s="20"/>
      <c r="P1197" s="20"/>
    </row>
    <row r="1198" customFormat="false" ht="14.25" hidden="false" customHeight="true" outlineLevel="0" collapsed="false">
      <c r="A1198" s="3" t="s">
        <v>1259</v>
      </c>
      <c r="B1198" s="3" t="s">
        <v>1260</v>
      </c>
      <c r="C1198" s="3" t="n">
        <v>226002</v>
      </c>
      <c r="D1198" s="3" t="s">
        <v>1270</v>
      </c>
      <c r="E1198" s="18" t="n">
        <v>45110</v>
      </c>
      <c r="F1198" s="3" t="s">
        <v>1262</v>
      </c>
      <c r="G1198" s="3" t="s">
        <v>5</v>
      </c>
      <c r="H1198" s="19"/>
      <c r="I1198" s="19"/>
      <c r="J1198" s="20"/>
      <c r="K1198" s="20"/>
      <c r="L1198" s="19"/>
      <c r="M1198" s="19"/>
      <c r="N1198" s="19"/>
      <c r="O1198" s="20"/>
      <c r="P1198" s="20"/>
    </row>
    <row r="1199" customFormat="false" ht="14.25" hidden="false" customHeight="true" outlineLevel="0" collapsed="false">
      <c r="A1199" s="3" t="s">
        <v>1259</v>
      </c>
      <c r="B1199" s="3" t="s">
        <v>1260</v>
      </c>
      <c r="C1199" s="3" t="n">
        <v>226002</v>
      </c>
      <c r="D1199" s="3" t="s">
        <v>1271</v>
      </c>
      <c r="E1199" s="18" t="n">
        <v>45117</v>
      </c>
      <c r="F1199" s="3" t="s">
        <v>1262</v>
      </c>
      <c r="G1199" s="3" t="s">
        <v>5</v>
      </c>
      <c r="H1199" s="19"/>
      <c r="I1199" s="19"/>
      <c r="J1199" s="20"/>
      <c r="K1199" s="20"/>
      <c r="L1199" s="19"/>
      <c r="M1199" s="19"/>
      <c r="N1199" s="19"/>
      <c r="O1199" s="20"/>
      <c r="P1199" s="20"/>
    </row>
    <row r="1200" customFormat="false" ht="14.25" hidden="false" customHeight="true" outlineLevel="0" collapsed="false">
      <c r="A1200" s="3" t="s">
        <v>1259</v>
      </c>
      <c r="B1200" s="3" t="s">
        <v>1260</v>
      </c>
      <c r="C1200" s="3" t="n">
        <v>226002</v>
      </c>
      <c r="D1200" s="3" t="s">
        <v>1272</v>
      </c>
      <c r="E1200" s="18" t="n">
        <v>45119</v>
      </c>
      <c r="F1200" s="3" t="s">
        <v>1262</v>
      </c>
      <c r="G1200" s="3" t="s">
        <v>5</v>
      </c>
      <c r="H1200" s="19"/>
      <c r="I1200" s="19"/>
      <c r="J1200" s="20"/>
      <c r="K1200" s="20"/>
      <c r="L1200" s="19"/>
      <c r="M1200" s="19"/>
      <c r="N1200" s="19"/>
      <c r="O1200" s="20"/>
      <c r="P1200" s="20"/>
    </row>
    <row r="1201" customFormat="false" ht="14.25" hidden="false" customHeight="true" outlineLevel="0" collapsed="false">
      <c r="A1201" s="3" t="s">
        <v>1259</v>
      </c>
      <c r="B1201" s="3" t="s">
        <v>1260</v>
      </c>
      <c r="C1201" s="3" t="n">
        <v>226002</v>
      </c>
      <c r="D1201" s="3" t="s">
        <v>1273</v>
      </c>
      <c r="E1201" s="18" t="n">
        <v>45131</v>
      </c>
      <c r="F1201" s="3" t="s">
        <v>1262</v>
      </c>
      <c r="G1201" s="3" t="s">
        <v>5</v>
      </c>
      <c r="H1201" s="19"/>
      <c r="I1201" s="19"/>
      <c r="J1201" s="20"/>
      <c r="K1201" s="20"/>
      <c r="L1201" s="19"/>
      <c r="M1201" s="19"/>
      <c r="N1201" s="19"/>
      <c r="O1201" s="20"/>
      <c r="P1201" s="20"/>
    </row>
    <row r="1202" customFormat="false" ht="14.25" hidden="false" customHeight="true" outlineLevel="0" collapsed="false">
      <c r="A1202" s="3" t="s">
        <v>1259</v>
      </c>
      <c r="B1202" s="3" t="s">
        <v>1260</v>
      </c>
      <c r="C1202" s="3" t="n">
        <v>226002</v>
      </c>
      <c r="D1202" s="3" t="s">
        <v>1276</v>
      </c>
      <c r="E1202" s="18" t="n">
        <v>45145</v>
      </c>
      <c r="F1202" s="3" t="s">
        <v>1262</v>
      </c>
      <c r="G1202" s="3" t="s">
        <v>5</v>
      </c>
      <c r="H1202" s="19"/>
      <c r="I1202" s="19"/>
      <c r="J1202" s="20"/>
      <c r="K1202" s="20"/>
      <c r="L1202" s="19"/>
      <c r="M1202" s="19"/>
      <c r="N1202" s="19"/>
      <c r="O1202" s="20"/>
      <c r="P1202" s="20"/>
    </row>
    <row r="1203" customFormat="false" ht="14.25" hidden="false" customHeight="true" outlineLevel="0" collapsed="false">
      <c r="A1203" s="3" t="s">
        <v>1259</v>
      </c>
      <c r="B1203" s="3" t="s">
        <v>1260</v>
      </c>
      <c r="C1203" s="3" t="n">
        <v>226002</v>
      </c>
      <c r="D1203" s="3" t="s">
        <v>1487</v>
      </c>
      <c r="E1203" s="18" t="n">
        <v>45146</v>
      </c>
      <c r="F1203" s="3" t="s">
        <v>1262</v>
      </c>
      <c r="G1203" s="3" t="s">
        <v>1275</v>
      </c>
      <c r="H1203" s="19"/>
      <c r="I1203" s="19"/>
      <c r="J1203" s="20"/>
      <c r="K1203" s="20"/>
      <c r="L1203" s="19"/>
      <c r="M1203" s="19"/>
      <c r="N1203" s="19"/>
      <c r="O1203" s="20"/>
      <c r="P1203" s="20"/>
    </row>
    <row r="1204" customFormat="false" ht="14.25" hidden="false" customHeight="true" outlineLevel="0" collapsed="false">
      <c r="A1204" s="3" t="s">
        <v>1259</v>
      </c>
      <c r="B1204" s="3" t="s">
        <v>1260</v>
      </c>
      <c r="C1204" s="3" t="n">
        <v>226002</v>
      </c>
      <c r="D1204" s="3" t="s">
        <v>1277</v>
      </c>
      <c r="E1204" s="18" t="n">
        <v>45159</v>
      </c>
      <c r="F1204" s="3" t="s">
        <v>1262</v>
      </c>
      <c r="G1204" s="3" t="s">
        <v>5</v>
      </c>
      <c r="H1204" s="19"/>
      <c r="I1204" s="19"/>
      <c r="J1204" s="20"/>
      <c r="K1204" s="20"/>
      <c r="L1204" s="19"/>
      <c r="M1204" s="19"/>
      <c r="N1204" s="19"/>
      <c r="O1204" s="20"/>
      <c r="P1204" s="20"/>
    </row>
    <row r="1205" customFormat="false" ht="14.25" hidden="false" customHeight="true" outlineLevel="0" collapsed="false">
      <c r="A1205" s="3" t="s">
        <v>1259</v>
      </c>
      <c r="B1205" s="3" t="s">
        <v>1260</v>
      </c>
      <c r="C1205" s="3" t="n">
        <v>226002</v>
      </c>
      <c r="D1205" s="3" t="s">
        <v>1278</v>
      </c>
      <c r="E1205" s="18" t="n">
        <v>45173</v>
      </c>
      <c r="F1205" s="3" t="s">
        <v>1262</v>
      </c>
      <c r="G1205" s="3" t="s">
        <v>5</v>
      </c>
      <c r="H1205" s="19"/>
      <c r="I1205" s="19"/>
      <c r="J1205" s="20"/>
      <c r="K1205" s="20"/>
      <c r="L1205" s="19"/>
      <c r="M1205" s="19"/>
      <c r="N1205" s="19"/>
      <c r="O1205" s="20"/>
      <c r="P1205" s="20"/>
    </row>
    <row r="1206" customFormat="false" ht="14.25" hidden="false" customHeight="true" outlineLevel="0" collapsed="false">
      <c r="A1206" s="3" t="s">
        <v>1259</v>
      </c>
      <c r="B1206" s="3" t="s">
        <v>1260</v>
      </c>
      <c r="C1206" s="3" t="n">
        <v>226002</v>
      </c>
      <c r="D1206" s="3" t="s">
        <v>1488</v>
      </c>
      <c r="E1206" s="18" t="n">
        <v>45175</v>
      </c>
      <c r="F1206" s="3" t="s">
        <v>1262</v>
      </c>
      <c r="G1206" s="3" t="s">
        <v>5</v>
      </c>
      <c r="H1206" s="19"/>
      <c r="I1206" s="19"/>
      <c r="J1206" s="20"/>
      <c r="K1206" s="20"/>
      <c r="L1206" s="19"/>
      <c r="M1206" s="19"/>
      <c r="N1206" s="19"/>
      <c r="O1206" s="20"/>
      <c r="P1206" s="20"/>
    </row>
    <row r="1207" customFormat="false" ht="14.25" hidden="false" customHeight="true" outlineLevel="0" collapsed="false">
      <c r="A1207" s="3" t="s">
        <v>1259</v>
      </c>
      <c r="B1207" s="3" t="s">
        <v>1260</v>
      </c>
      <c r="C1207" s="3" t="n">
        <v>226002</v>
      </c>
      <c r="D1207" s="3" t="s">
        <v>1489</v>
      </c>
      <c r="E1207" s="18" t="n">
        <v>45177</v>
      </c>
      <c r="F1207" s="3" t="s">
        <v>1262</v>
      </c>
      <c r="G1207" s="3" t="s">
        <v>5</v>
      </c>
      <c r="H1207" s="19"/>
      <c r="I1207" s="19"/>
      <c r="J1207" s="20"/>
      <c r="K1207" s="20"/>
      <c r="L1207" s="19"/>
      <c r="M1207" s="19"/>
      <c r="N1207" s="19"/>
      <c r="O1207" s="20"/>
      <c r="P1207" s="20"/>
    </row>
    <row r="1208" customFormat="false" ht="14.25" hidden="false" customHeight="true" outlineLevel="0" collapsed="false">
      <c r="A1208" s="3" t="s">
        <v>1259</v>
      </c>
      <c r="B1208" s="3" t="s">
        <v>1260</v>
      </c>
      <c r="C1208" s="3" t="n">
        <v>226002</v>
      </c>
      <c r="D1208" s="3" t="s">
        <v>1490</v>
      </c>
      <c r="E1208" s="18" t="n">
        <v>45180</v>
      </c>
      <c r="F1208" s="3" t="s">
        <v>1262</v>
      </c>
      <c r="G1208" s="3" t="s">
        <v>5</v>
      </c>
      <c r="H1208" s="19"/>
      <c r="I1208" s="19"/>
      <c r="J1208" s="20"/>
      <c r="K1208" s="20"/>
      <c r="L1208" s="19"/>
      <c r="M1208" s="19"/>
      <c r="N1208" s="19"/>
      <c r="O1208" s="20"/>
      <c r="P1208" s="20"/>
    </row>
    <row r="1209" customFormat="false" ht="14.25" hidden="false" customHeight="true" outlineLevel="0" collapsed="false">
      <c r="A1209" s="3" t="s">
        <v>1259</v>
      </c>
      <c r="B1209" s="3" t="s">
        <v>1260</v>
      </c>
      <c r="C1209" s="3" t="n">
        <v>226002</v>
      </c>
      <c r="D1209" s="3" t="s">
        <v>1279</v>
      </c>
      <c r="E1209" s="18" t="n">
        <v>45188</v>
      </c>
      <c r="F1209" s="3" t="s">
        <v>1262</v>
      </c>
      <c r="G1209" s="3" t="s">
        <v>5</v>
      </c>
      <c r="H1209" s="19"/>
      <c r="I1209" s="19"/>
      <c r="J1209" s="20"/>
      <c r="K1209" s="20"/>
      <c r="L1209" s="19"/>
      <c r="M1209" s="19"/>
      <c r="N1209" s="19"/>
      <c r="O1209" s="20"/>
      <c r="P1209" s="20"/>
    </row>
    <row r="1210" customFormat="false" ht="14.25" hidden="false" customHeight="true" outlineLevel="0" collapsed="false">
      <c r="A1210" s="3" t="s">
        <v>1259</v>
      </c>
      <c r="B1210" s="3" t="s">
        <v>1260</v>
      </c>
      <c r="C1210" s="3" t="n">
        <v>226002</v>
      </c>
      <c r="D1210" s="3" t="s">
        <v>1491</v>
      </c>
      <c r="E1210" s="18" t="n">
        <v>45201</v>
      </c>
      <c r="F1210" s="3" t="s">
        <v>1262</v>
      </c>
      <c r="G1210" s="3" t="s">
        <v>1275</v>
      </c>
      <c r="H1210" s="19"/>
      <c r="I1210" s="19"/>
      <c r="J1210" s="20"/>
      <c r="K1210" s="20"/>
      <c r="L1210" s="19"/>
      <c r="M1210" s="19"/>
      <c r="N1210" s="19"/>
      <c r="O1210" s="20"/>
      <c r="P1210" s="20"/>
    </row>
    <row r="1211" customFormat="false" ht="14.25" hidden="false" customHeight="true" outlineLevel="0" collapsed="false">
      <c r="A1211" s="3" t="s">
        <v>1259</v>
      </c>
      <c r="B1211" s="3" t="s">
        <v>1260</v>
      </c>
      <c r="C1211" s="3" t="n">
        <v>226002</v>
      </c>
      <c r="D1211" s="3" t="s">
        <v>1281</v>
      </c>
      <c r="E1211" s="18" t="n">
        <v>45204</v>
      </c>
      <c r="F1211" s="3" t="s">
        <v>1262</v>
      </c>
      <c r="G1211" s="3" t="s">
        <v>5</v>
      </c>
      <c r="H1211" s="19"/>
      <c r="I1211" s="19"/>
      <c r="J1211" s="20"/>
      <c r="K1211" s="20"/>
      <c r="L1211" s="19"/>
      <c r="M1211" s="19"/>
      <c r="N1211" s="19"/>
      <c r="O1211" s="20"/>
      <c r="P1211" s="20"/>
    </row>
    <row r="1212" customFormat="false" ht="14.25" hidden="false" customHeight="true" outlineLevel="0" collapsed="false">
      <c r="A1212" s="3" t="s">
        <v>1259</v>
      </c>
      <c r="B1212" s="3" t="s">
        <v>1260</v>
      </c>
      <c r="C1212" s="3" t="n">
        <v>226002</v>
      </c>
      <c r="D1212" s="3" t="s">
        <v>1282</v>
      </c>
      <c r="E1212" s="18" t="n">
        <v>45215</v>
      </c>
      <c r="F1212" s="3" t="s">
        <v>1262</v>
      </c>
      <c r="G1212" s="3" t="s">
        <v>5</v>
      </c>
      <c r="H1212" s="19"/>
      <c r="I1212" s="19"/>
      <c r="J1212" s="20"/>
      <c r="K1212" s="20"/>
      <c r="L1212" s="19"/>
      <c r="M1212" s="19"/>
      <c r="N1212" s="19"/>
      <c r="O1212" s="20"/>
      <c r="P1212" s="20"/>
    </row>
    <row r="1213" customFormat="false" ht="14.25" hidden="false" customHeight="true" outlineLevel="0" collapsed="false">
      <c r="A1213" s="3" t="s">
        <v>1259</v>
      </c>
      <c r="B1213" s="3" t="s">
        <v>1260</v>
      </c>
      <c r="C1213" s="3" t="n">
        <v>226002</v>
      </c>
      <c r="D1213" s="3" t="s">
        <v>1283</v>
      </c>
      <c r="E1213" s="18" t="n">
        <v>45229</v>
      </c>
      <c r="F1213" s="3" t="s">
        <v>1262</v>
      </c>
      <c r="G1213" s="3" t="s">
        <v>5</v>
      </c>
      <c r="H1213" s="19"/>
      <c r="I1213" s="19"/>
      <c r="J1213" s="20"/>
      <c r="K1213" s="20"/>
      <c r="L1213" s="19"/>
      <c r="M1213" s="19"/>
      <c r="N1213" s="19"/>
      <c r="O1213" s="20"/>
      <c r="P1213" s="20"/>
    </row>
    <row r="1214" customFormat="false" ht="14.25" hidden="false" customHeight="true" outlineLevel="0" collapsed="false">
      <c r="A1214" s="3" t="s">
        <v>1259</v>
      </c>
      <c r="B1214" s="3" t="s">
        <v>1260</v>
      </c>
      <c r="C1214" s="3" t="n">
        <v>226002</v>
      </c>
      <c r="D1214" s="3" t="s">
        <v>1284</v>
      </c>
      <c r="E1214" s="18" t="n">
        <v>45243</v>
      </c>
      <c r="F1214" s="3" t="s">
        <v>1262</v>
      </c>
      <c r="G1214" s="3" t="s">
        <v>5</v>
      </c>
      <c r="H1214" s="19"/>
      <c r="I1214" s="19"/>
      <c r="J1214" s="20"/>
      <c r="K1214" s="20"/>
      <c r="L1214" s="19"/>
      <c r="M1214" s="19"/>
      <c r="N1214" s="19"/>
      <c r="O1214" s="20"/>
      <c r="P1214" s="20"/>
    </row>
    <row r="1215" customFormat="false" ht="14.25" hidden="false" customHeight="true" outlineLevel="0" collapsed="false">
      <c r="A1215" s="3" t="s">
        <v>1259</v>
      </c>
      <c r="B1215" s="3" t="s">
        <v>1260</v>
      </c>
      <c r="C1215" s="3" t="n">
        <v>226002</v>
      </c>
      <c r="D1215" s="3" t="s">
        <v>1286</v>
      </c>
      <c r="E1215" s="18" t="n">
        <v>45257</v>
      </c>
      <c r="F1215" s="3" t="s">
        <v>1262</v>
      </c>
      <c r="G1215" s="3" t="s">
        <v>5</v>
      </c>
      <c r="H1215" s="19"/>
      <c r="I1215" s="19"/>
      <c r="J1215" s="20"/>
      <c r="K1215" s="20"/>
      <c r="L1215" s="19"/>
      <c r="M1215" s="19"/>
      <c r="N1215" s="19"/>
      <c r="O1215" s="20"/>
      <c r="P1215" s="20"/>
    </row>
    <row r="1216" customFormat="false" ht="14.25" hidden="false" customHeight="true" outlineLevel="0" collapsed="false">
      <c r="A1216" s="3" t="s">
        <v>1259</v>
      </c>
      <c r="B1216" s="3" t="s">
        <v>1260</v>
      </c>
      <c r="C1216" s="3" t="n">
        <v>226002</v>
      </c>
      <c r="D1216" s="3" t="s">
        <v>1296</v>
      </c>
      <c r="E1216" s="18" t="n">
        <v>45258</v>
      </c>
      <c r="F1216" s="3" t="s">
        <v>1262</v>
      </c>
      <c r="G1216" s="3" t="s">
        <v>1275</v>
      </c>
      <c r="H1216" s="19"/>
      <c r="I1216" s="19"/>
      <c r="J1216" s="20"/>
      <c r="K1216" s="20"/>
      <c r="L1216" s="19"/>
      <c r="M1216" s="19"/>
      <c r="N1216" s="19"/>
      <c r="O1216" s="20"/>
      <c r="P1216" s="20"/>
    </row>
    <row r="1217" customFormat="false" ht="14.25" hidden="false" customHeight="true" outlineLevel="0" collapsed="false">
      <c r="A1217" s="3" t="s">
        <v>1259</v>
      </c>
      <c r="B1217" s="3" t="s">
        <v>1260</v>
      </c>
      <c r="C1217" s="3" t="n">
        <v>226002</v>
      </c>
      <c r="D1217" s="3" t="s">
        <v>1287</v>
      </c>
      <c r="E1217" s="18" t="n">
        <v>45271</v>
      </c>
      <c r="F1217" s="3" t="s">
        <v>1262</v>
      </c>
      <c r="G1217" s="3" t="s">
        <v>5</v>
      </c>
      <c r="H1217" s="19"/>
      <c r="I1217" s="19"/>
      <c r="J1217" s="20"/>
      <c r="K1217" s="20"/>
      <c r="L1217" s="19"/>
      <c r="M1217" s="19"/>
      <c r="N1217" s="19"/>
      <c r="O1217" s="20"/>
      <c r="P1217" s="20"/>
    </row>
    <row r="1218" customFormat="false" ht="14.25" hidden="false" customHeight="true" outlineLevel="0" collapsed="false">
      <c r="A1218" s="3" t="s">
        <v>1259</v>
      </c>
      <c r="B1218" s="3" t="s">
        <v>1260</v>
      </c>
      <c r="C1218" s="3" t="n">
        <v>226002</v>
      </c>
      <c r="D1218" s="3" t="s">
        <v>1288</v>
      </c>
      <c r="E1218" s="18" t="n">
        <v>45286</v>
      </c>
      <c r="F1218" s="3" t="s">
        <v>1262</v>
      </c>
      <c r="G1218" s="3" t="s">
        <v>5</v>
      </c>
      <c r="H1218" s="19"/>
      <c r="I1218" s="19"/>
      <c r="J1218" s="20"/>
      <c r="K1218" s="20"/>
      <c r="L1218" s="19"/>
      <c r="M1218" s="19"/>
      <c r="N1218" s="19"/>
      <c r="O1218" s="20"/>
      <c r="P1218" s="20"/>
    </row>
    <row r="1219" customFormat="false" ht="14.25" hidden="false" customHeight="true" outlineLevel="0" collapsed="false">
      <c r="A1219" s="3" t="s">
        <v>1259</v>
      </c>
      <c r="B1219" s="3" t="s">
        <v>1260</v>
      </c>
      <c r="C1219" s="3" t="n">
        <v>226002</v>
      </c>
      <c r="D1219" s="3" t="s">
        <v>1289</v>
      </c>
      <c r="E1219" s="18" t="n">
        <v>45299</v>
      </c>
      <c r="F1219" s="3" t="s">
        <v>1262</v>
      </c>
      <c r="G1219" s="3" t="s">
        <v>5</v>
      </c>
      <c r="H1219" s="19"/>
      <c r="I1219" s="19"/>
      <c r="J1219" s="20"/>
      <c r="K1219" s="20"/>
      <c r="L1219" s="19"/>
      <c r="M1219" s="19"/>
      <c r="N1219" s="19"/>
      <c r="O1219" s="20"/>
      <c r="P1219" s="20"/>
    </row>
    <row r="1220" customFormat="false" ht="14.25" hidden="false" customHeight="true" outlineLevel="0" collapsed="false">
      <c r="A1220" s="3" t="s">
        <v>1259</v>
      </c>
      <c r="B1220" s="3" t="s">
        <v>1260</v>
      </c>
      <c r="C1220" s="3" t="n">
        <v>226002</v>
      </c>
      <c r="D1220" s="3" t="s">
        <v>1492</v>
      </c>
      <c r="E1220" s="18" t="n">
        <v>45308</v>
      </c>
      <c r="F1220" s="3" t="s">
        <v>1262</v>
      </c>
      <c r="G1220" s="3" t="s">
        <v>1275</v>
      </c>
      <c r="H1220" s="19"/>
      <c r="I1220" s="19"/>
      <c r="J1220" s="20"/>
      <c r="K1220" s="20"/>
      <c r="L1220" s="19"/>
      <c r="M1220" s="19"/>
      <c r="N1220" s="19"/>
      <c r="O1220" s="20"/>
      <c r="P1220" s="20"/>
    </row>
    <row r="1221" customFormat="false" ht="14.25" hidden="false" customHeight="true" outlineLevel="0" collapsed="false">
      <c r="A1221" s="3" t="s">
        <v>1259</v>
      </c>
      <c r="B1221" s="3" t="s">
        <v>1260</v>
      </c>
      <c r="C1221" s="3" t="n">
        <v>226002</v>
      </c>
      <c r="D1221" s="3" t="s">
        <v>1290</v>
      </c>
      <c r="E1221" s="18" t="n">
        <v>45313</v>
      </c>
      <c r="F1221" s="3" t="s">
        <v>1262</v>
      </c>
      <c r="G1221" s="3" t="s">
        <v>5</v>
      </c>
      <c r="H1221" s="19"/>
      <c r="I1221" s="19"/>
      <c r="J1221" s="20"/>
      <c r="K1221" s="20"/>
      <c r="L1221" s="19"/>
      <c r="M1221" s="19"/>
      <c r="N1221" s="19"/>
      <c r="O1221" s="20"/>
      <c r="P1221" s="20"/>
    </row>
    <row r="1222" customFormat="false" ht="14.25" hidden="false" customHeight="true" outlineLevel="0" collapsed="false">
      <c r="A1222" s="3" t="s">
        <v>1259</v>
      </c>
      <c r="B1222" s="3" t="s">
        <v>1260</v>
      </c>
      <c r="C1222" s="3" t="n">
        <v>226002</v>
      </c>
      <c r="D1222" s="3" t="s">
        <v>1292</v>
      </c>
      <c r="E1222" s="18" t="n">
        <v>45327</v>
      </c>
      <c r="F1222" s="3" t="s">
        <v>1262</v>
      </c>
      <c r="G1222" s="3" t="s">
        <v>5</v>
      </c>
      <c r="H1222" s="19"/>
      <c r="I1222" s="19"/>
      <c r="J1222" s="20"/>
      <c r="K1222" s="20"/>
      <c r="L1222" s="19"/>
      <c r="M1222" s="19"/>
      <c r="N1222" s="19"/>
      <c r="O1222" s="20"/>
      <c r="P1222" s="20"/>
    </row>
    <row r="1223" customFormat="false" ht="14.25" hidden="false" customHeight="true" outlineLevel="0" collapsed="false">
      <c r="A1223" s="3" t="s">
        <v>1259</v>
      </c>
      <c r="B1223" s="3" t="s">
        <v>1260</v>
      </c>
      <c r="C1223" s="3" t="n">
        <v>226002</v>
      </c>
      <c r="D1223" s="3" t="s">
        <v>1293</v>
      </c>
      <c r="E1223" s="18" t="n">
        <v>45341</v>
      </c>
      <c r="F1223" s="3" t="s">
        <v>1262</v>
      </c>
      <c r="G1223" s="3" t="s">
        <v>5</v>
      </c>
      <c r="H1223" s="19"/>
      <c r="I1223" s="19"/>
      <c r="J1223" s="20"/>
      <c r="K1223" s="20"/>
      <c r="L1223" s="19"/>
      <c r="M1223" s="19"/>
      <c r="N1223" s="19"/>
      <c r="O1223" s="20"/>
      <c r="P1223" s="20"/>
    </row>
    <row r="1224" customFormat="false" ht="14.25" hidden="false" customHeight="true" outlineLevel="0" collapsed="false">
      <c r="A1224" s="3" t="s">
        <v>1259</v>
      </c>
      <c r="B1224" s="3" t="s">
        <v>1260</v>
      </c>
      <c r="C1224" s="3" t="n">
        <v>226002</v>
      </c>
      <c r="D1224" s="3" t="s">
        <v>1294</v>
      </c>
      <c r="E1224" s="18" t="n">
        <v>45358</v>
      </c>
      <c r="F1224" s="3" t="s">
        <v>1262</v>
      </c>
      <c r="G1224" s="3" t="s">
        <v>5</v>
      </c>
      <c r="H1224" s="19"/>
      <c r="I1224" s="19"/>
      <c r="J1224" s="20"/>
      <c r="K1224" s="20"/>
      <c r="L1224" s="19"/>
      <c r="M1224" s="19"/>
      <c r="N1224" s="19"/>
      <c r="O1224" s="20"/>
      <c r="P1224" s="20"/>
    </row>
    <row r="1225" customFormat="false" ht="14.25" hidden="false" customHeight="true" outlineLevel="0" collapsed="false">
      <c r="A1225" s="3" t="s">
        <v>1259</v>
      </c>
      <c r="B1225" s="3" t="s">
        <v>1260</v>
      </c>
      <c r="C1225" s="3" t="n">
        <v>226002</v>
      </c>
      <c r="D1225" s="3" t="s">
        <v>1295</v>
      </c>
      <c r="E1225" s="18" t="n">
        <v>45369</v>
      </c>
      <c r="F1225" s="3" t="s">
        <v>1262</v>
      </c>
      <c r="G1225" s="3" t="s">
        <v>5</v>
      </c>
      <c r="H1225" s="19"/>
      <c r="I1225" s="19"/>
      <c r="J1225" s="20"/>
      <c r="K1225" s="20"/>
      <c r="L1225" s="19"/>
      <c r="M1225" s="19"/>
      <c r="N1225" s="19"/>
      <c r="O1225" s="20"/>
      <c r="P1225" s="20"/>
    </row>
    <row r="1226" customFormat="false" ht="14.25" hidden="false" customHeight="true" outlineLevel="0" collapsed="false">
      <c r="A1226" s="3" t="s">
        <v>1259</v>
      </c>
      <c r="B1226" s="3" t="s">
        <v>1260</v>
      </c>
      <c r="C1226" s="3" t="n">
        <v>226002</v>
      </c>
      <c r="D1226" s="3" t="s">
        <v>1493</v>
      </c>
      <c r="E1226" s="18" t="n">
        <v>45369</v>
      </c>
      <c r="F1226" s="3" t="s">
        <v>1262</v>
      </c>
      <c r="G1226" s="3" t="s">
        <v>1275</v>
      </c>
      <c r="H1226" s="19"/>
      <c r="I1226" s="19"/>
      <c r="J1226" s="20"/>
      <c r="K1226" s="20"/>
      <c r="L1226" s="19"/>
      <c r="M1226" s="19"/>
      <c r="N1226" s="19"/>
      <c r="O1226" s="20"/>
      <c r="P1226" s="20"/>
    </row>
    <row r="1227" customFormat="false" ht="14.25" hidden="false" customHeight="true" outlineLevel="0" collapsed="false">
      <c r="A1227" s="3" t="s">
        <v>1259</v>
      </c>
      <c r="B1227" s="3" t="s">
        <v>1260</v>
      </c>
      <c r="C1227" s="3" t="n">
        <v>226002</v>
      </c>
      <c r="D1227" s="3" t="s">
        <v>1297</v>
      </c>
      <c r="E1227" s="18" t="n">
        <v>45383</v>
      </c>
      <c r="F1227" s="3" t="s">
        <v>1262</v>
      </c>
      <c r="G1227" s="3" t="s">
        <v>5</v>
      </c>
      <c r="H1227" s="19"/>
      <c r="I1227" s="19"/>
      <c r="J1227" s="20"/>
      <c r="K1227" s="20"/>
      <c r="L1227" s="19"/>
      <c r="M1227" s="19"/>
      <c r="N1227" s="19"/>
      <c r="O1227" s="20"/>
      <c r="P1227" s="20"/>
    </row>
    <row r="1228" customFormat="false" ht="14.25" hidden="false" customHeight="true" outlineLevel="0" collapsed="false">
      <c r="A1228" s="3" t="s">
        <v>1259</v>
      </c>
      <c r="B1228" s="3" t="s">
        <v>1260</v>
      </c>
      <c r="C1228" s="3" t="n">
        <v>226002</v>
      </c>
      <c r="D1228" s="3" t="s">
        <v>1298</v>
      </c>
      <c r="E1228" s="18" t="n">
        <v>45397</v>
      </c>
      <c r="F1228" s="3" t="s">
        <v>1262</v>
      </c>
      <c r="G1228" s="3" t="s">
        <v>5</v>
      </c>
      <c r="H1228" s="19"/>
      <c r="I1228" s="19"/>
      <c r="J1228" s="20"/>
      <c r="K1228" s="20"/>
      <c r="L1228" s="19"/>
      <c r="M1228" s="19"/>
      <c r="N1228" s="19"/>
      <c r="O1228" s="20"/>
      <c r="P1228" s="20"/>
    </row>
    <row r="1229" customFormat="false" ht="14.25" hidden="false" customHeight="true" outlineLevel="0" collapsed="false">
      <c r="A1229" s="3" t="s">
        <v>1259</v>
      </c>
      <c r="B1229" s="3" t="s">
        <v>1260</v>
      </c>
      <c r="C1229" s="3" t="n">
        <v>226002</v>
      </c>
      <c r="D1229" s="3" t="s">
        <v>1299</v>
      </c>
      <c r="E1229" s="18" t="n">
        <v>45411</v>
      </c>
      <c r="F1229" s="3" t="s">
        <v>1262</v>
      </c>
      <c r="G1229" s="3" t="s">
        <v>5</v>
      </c>
      <c r="H1229" s="19"/>
      <c r="I1229" s="19"/>
      <c r="J1229" s="20"/>
      <c r="K1229" s="20"/>
      <c r="L1229" s="19"/>
      <c r="M1229" s="19"/>
      <c r="N1229" s="19"/>
      <c r="O1229" s="20"/>
      <c r="P1229" s="20"/>
    </row>
    <row r="1230" customFormat="false" ht="14.25" hidden="false" customHeight="true" outlineLevel="0" collapsed="false">
      <c r="A1230" s="3" t="s">
        <v>1259</v>
      </c>
      <c r="B1230" s="3" t="s">
        <v>1260</v>
      </c>
      <c r="C1230" s="3" t="n">
        <v>226002</v>
      </c>
      <c r="D1230" s="3" t="s">
        <v>1300</v>
      </c>
      <c r="E1230" s="18" t="n">
        <v>45425</v>
      </c>
      <c r="F1230" s="3" t="s">
        <v>1262</v>
      </c>
      <c r="G1230" s="3" t="s">
        <v>5</v>
      </c>
      <c r="H1230" s="19"/>
      <c r="I1230" s="19"/>
      <c r="J1230" s="20"/>
      <c r="K1230" s="20"/>
      <c r="L1230" s="19"/>
      <c r="M1230" s="19"/>
      <c r="N1230" s="19"/>
      <c r="O1230" s="20"/>
      <c r="P1230" s="20"/>
    </row>
    <row r="1231" customFormat="false" ht="14.25" hidden="false" customHeight="true" outlineLevel="0" collapsed="false">
      <c r="A1231" s="3" t="s">
        <v>1259</v>
      </c>
      <c r="B1231" s="3" t="s">
        <v>1260</v>
      </c>
      <c r="C1231" s="3" t="n">
        <v>226002</v>
      </c>
      <c r="D1231" s="3" t="s">
        <v>1494</v>
      </c>
      <c r="E1231" s="18" t="n">
        <v>45425</v>
      </c>
      <c r="F1231" s="3" t="s">
        <v>1262</v>
      </c>
      <c r="G1231" s="3" t="s">
        <v>1275</v>
      </c>
      <c r="H1231" s="19"/>
      <c r="I1231" s="19"/>
      <c r="J1231" s="20"/>
      <c r="K1231" s="20"/>
      <c r="L1231" s="19"/>
      <c r="M1231" s="19"/>
      <c r="N1231" s="19"/>
      <c r="O1231" s="20"/>
      <c r="P1231" s="20"/>
    </row>
    <row r="1232" customFormat="false" ht="14.25" hidden="false" customHeight="true" outlineLevel="0" collapsed="false">
      <c r="A1232" s="3" t="s">
        <v>1259</v>
      </c>
      <c r="B1232" s="3" t="s">
        <v>1260</v>
      </c>
      <c r="C1232" s="3" t="n">
        <v>226004</v>
      </c>
      <c r="D1232" s="3" t="s">
        <v>1261</v>
      </c>
      <c r="E1232" s="18" t="n">
        <v>45069</v>
      </c>
      <c r="F1232" s="3" t="s">
        <v>1262</v>
      </c>
      <c r="G1232" s="3" t="s">
        <v>5</v>
      </c>
      <c r="H1232" s="19" t="n">
        <v>45069</v>
      </c>
      <c r="I1232" s="19" t="n">
        <v>44957</v>
      </c>
      <c r="J1232" s="20" t="n">
        <v>36</v>
      </c>
      <c r="K1232" s="20" t="s">
        <v>1313</v>
      </c>
      <c r="L1232" s="19" t="s">
        <v>12</v>
      </c>
      <c r="M1232" s="19"/>
      <c r="N1232" s="19"/>
      <c r="O1232" s="20"/>
      <c r="P1232" s="20"/>
    </row>
    <row r="1233" customFormat="false" ht="14.25" hidden="false" customHeight="true" outlineLevel="0" collapsed="false">
      <c r="A1233" s="3" t="s">
        <v>1259</v>
      </c>
      <c r="B1233" s="3" t="s">
        <v>1260</v>
      </c>
      <c r="C1233" s="3" t="n">
        <v>226004</v>
      </c>
      <c r="D1233" s="3" t="s">
        <v>1264</v>
      </c>
      <c r="E1233" s="18" t="n">
        <v>45090</v>
      </c>
      <c r="F1233" s="3" t="s">
        <v>1262</v>
      </c>
      <c r="G1233" s="3" t="s">
        <v>5</v>
      </c>
      <c r="H1233" s="19"/>
      <c r="I1233" s="19"/>
      <c r="J1233" s="20"/>
      <c r="K1233" s="20"/>
      <c r="L1233" s="19"/>
      <c r="M1233" s="19"/>
      <c r="N1233" s="19"/>
      <c r="O1233" s="20"/>
      <c r="P1233" s="20"/>
    </row>
    <row r="1234" customFormat="false" ht="14.25" hidden="false" customHeight="true" outlineLevel="0" collapsed="false">
      <c r="A1234" s="3" t="s">
        <v>1259</v>
      </c>
      <c r="B1234" s="3" t="s">
        <v>1260</v>
      </c>
      <c r="C1234" s="3" t="n">
        <v>226004</v>
      </c>
      <c r="D1234" s="3" t="s">
        <v>1265</v>
      </c>
      <c r="E1234" s="18" t="n">
        <v>45092</v>
      </c>
      <c r="F1234" s="3" t="s">
        <v>1262</v>
      </c>
      <c r="G1234" s="3" t="s">
        <v>5</v>
      </c>
      <c r="H1234" s="19"/>
      <c r="I1234" s="19"/>
      <c r="J1234" s="20"/>
      <c r="K1234" s="20"/>
      <c r="L1234" s="19"/>
      <c r="M1234" s="19"/>
      <c r="N1234" s="19"/>
      <c r="O1234" s="20"/>
      <c r="P1234" s="20"/>
    </row>
    <row r="1235" customFormat="false" ht="14.25" hidden="false" customHeight="true" outlineLevel="0" collapsed="false">
      <c r="A1235" s="3" t="s">
        <v>1259</v>
      </c>
      <c r="B1235" s="3" t="s">
        <v>1260</v>
      </c>
      <c r="C1235" s="3" t="n">
        <v>226004</v>
      </c>
      <c r="D1235" s="3" t="s">
        <v>1266</v>
      </c>
      <c r="E1235" s="18" t="n">
        <v>45097</v>
      </c>
      <c r="F1235" s="3" t="s">
        <v>1262</v>
      </c>
      <c r="G1235" s="3" t="s">
        <v>5</v>
      </c>
      <c r="H1235" s="19"/>
      <c r="I1235" s="19"/>
      <c r="J1235" s="20"/>
      <c r="K1235" s="20"/>
      <c r="L1235" s="19"/>
      <c r="M1235" s="19"/>
      <c r="N1235" s="19"/>
      <c r="O1235" s="20"/>
      <c r="P1235" s="20"/>
    </row>
    <row r="1236" customFormat="false" ht="14.25" hidden="false" customHeight="true" outlineLevel="0" collapsed="false">
      <c r="A1236" s="3" t="s">
        <v>1259</v>
      </c>
      <c r="B1236" s="3" t="s">
        <v>1260</v>
      </c>
      <c r="C1236" s="3" t="n">
        <v>226004</v>
      </c>
      <c r="D1236" s="3" t="s">
        <v>1269</v>
      </c>
      <c r="E1236" s="18" t="n">
        <v>45104</v>
      </c>
      <c r="F1236" s="3" t="s">
        <v>1262</v>
      </c>
      <c r="G1236" s="3" t="s">
        <v>5</v>
      </c>
      <c r="H1236" s="19"/>
      <c r="I1236" s="19"/>
      <c r="J1236" s="20"/>
      <c r="K1236" s="20"/>
      <c r="L1236" s="19"/>
      <c r="M1236" s="19"/>
      <c r="N1236" s="19"/>
      <c r="O1236" s="20"/>
      <c r="P1236" s="20"/>
    </row>
    <row r="1237" customFormat="false" ht="14.25" hidden="false" customHeight="true" outlineLevel="0" collapsed="false">
      <c r="A1237" s="3" t="s">
        <v>1259</v>
      </c>
      <c r="B1237" s="3" t="s">
        <v>1260</v>
      </c>
      <c r="C1237" s="3" t="n">
        <v>226004</v>
      </c>
      <c r="D1237" s="3" t="s">
        <v>1270</v>
      </c>
      <c r="E1237" s="18" t="n">
        <v>45111</v>
      </c>
      <c r="F1237" s="3" t="s">
        <v>1262</v>
      </c>
      <c r="G1237" s="3" t="s">
        <v>5</v>
      </c>
      <c r="H1237" s="19"/>
      <c r="I1237" s="19"/>
      <c r="J1237" s="20"/>
      <c r="K1237" s="20"/>
      <c r="L1237" s="19"/>
      <c r="M1237" s="19"/>
      <c r="N1237" s="19"/>
      <c r="O1237" s="20"/>
      <c r="P1237" s="20"/>
    </row>
    <row r="1238" customFormat="false" ht="14.25" hidden="false" customHeight="true" outlineLevel="0" collapsed="false">
      <c r="A1238" s="3" t="s">
        <v>1259</v>
      </c>
      <c r="B1238" s="3" t="s">
        <v>1260</v>
      </c>
      <c r="C1238" s="3" t="n">
        <v>226004</v>
      </c>
      <c r="D1238" s="3" t="s">
        <v>1271</v>
      </c>
      <c r="E1238" s="18" t="n">
        <v>45118</v>
      </c>
      <c r="F1238" s="3" t="s">
        <v>1262</v>
      </c>
      <c r="G1238" s="3" t="s">
        <v>5</v>
      </c>
      <c r="H1238" s="19"/>
      <c r="I1238" s="19"/>
      <c r="J1238" s="20"/>
      <c r="K1238" s="20"/>
      <c r="L1238" s="19"/>
      <c r="M1238" s="19"/>
      <c r="N1238" s="19"/>
      <c r="O1238" s="20"/>
      <c r="P1238" s="20"/>
    </row>
    <row r="1239" customFormat="false" ht="14.25" hidden="false" customHeight="true" outlineLevel="0" collapsed="false">
      <c r="A1239" s="3" t="s">
        <v>1259</v>
      </c>
      <c r="B1239" s="3" t="s">
        <v>1260</v>
      </c>
      <c r="C1239" s="3" t="n">
        <v>226004</v>
      </c>
      <c r="D1239" s="3" t="s">
        <v>1272</v>
      </c>
      <c r="E1239" s="18" t="n">
        <v>45120</v>
      </c>
      <c r="F1239" s="3" t="s">
        <v>1262</v>
      </c>
      <c r="G1239" s="3" t="s">
        <v>5</v>
      </c>
      <c r="H1239" s="19"/>
      <c r="I1239" s="19"/>
      <c r="J1239" s="20"/>
      <c r="K1239" s="20"/>
      <c r="L1239" s="19"/>
      <c r="M1239" s="19"/>
      <c r="N1239" s="19"/>
      <c r="O1239" s="20"/>
      <c r="P1239" s="20"/>
    </row>
    <row r="1240" customFormat="false" ht="14.25" hidden="false" customHeight="true" outlineLevel="0" collapsed="false">
      <c r="A1240" s="3" t="s">
        <v>1259</v>
      </c>
      <c r="B1240" s="3" t="s">
        <v>1260</v>
      </c>
      <c r="C1240" s="3" t="n">
        <v>226004</v>
      </c>
      <c r="D1240" s="3" t="s">
        <v>1273</v>
      </c>
      <c r="E1240" s="18" t="n">
        <v>45132</v>
      </c>
      <c r="F1240" s="3" t="s">
        <v>1262</v>
      </c>
      <c r="G1240" s="3" t="s">
        <v>5</v>
      </c>
      <c r="H1240" s="19"/>
      <c r="I1240" s="19"/>
      <c r="J1240" s="20"/>
      <c r="K1240" s="20"/>
      <c r="L1240" s="19"/>
      <c r="M1240" s="19"/>
      <c r="N1240" s="19"/>
      <c r="O1240" s="20"/>
      <c r="P1240" s="20"/>
    </row>
    <row r="1241" customFormat="false" ht="14.25" hidden="false" customHeight="true" outlineLevel="0" collapsed="false">
      <c r="A1241" s="3" t="s">
        <v>1259</v>
      </c>
      <c r="B1241" s="3" t="s">
        <v>1260</v>
      </c>
      <c r="C1241" s="3" t="n">
        <v>226004</v>
      </c>
      <c r="D1241" s="3" t="s">
        <v>1495</v>
      </c>
      <c r="E1241" s="18" t="n">
        <v>45140</v>
      </c>
      <c r="F1241" s="3" t="s">
        <v>1262</v>
      </c>
      <c r="G1241" s="3" t="s">
        <v>1275</v>
      </c>
      <c r="H1241" s="19"/>
      <c r="I1241" s="19"/>
      <c r="J1241" s="20"/>
      <c r="K1241" s="20"/>
      <c r="L1241" s="19"/>
      <c r="M1241" s="19"/>
      <c r="N1241" s="19"/>
      <c r="O1241" s="20"/>
      <c r="P1241" s="20"/>
    </row>
    <row r="1242" customFormat="false" ht="14.25" hidden="false" customHeight="true" outlineLevel="0" collapsed="false">
      <c r="A1242" s="3" t="s">
        <v>1259</v>
      </c>
      <c r="B1242" s="3" t="s">
        <v>1260</v>
      </c>
      <c r="C1242" s="3" t="n">
        <v>226004</v>
      </c>
      <c r="D1242" s="3" t="s">
        <v>1276</v>
      </c>
      <c r="E1242" s="18" t="n">
        <v>45148</v>
      </c>
      <c r="F1242" s="3" t="s">
        <v>1262</v>
      </c>
      <c r="G1242" s="3" t="s">
        <v>5</v>
      </c>
      <c r="H1242" s="19"/>
      <c r="I1242" s="19"/>
      <c r="J1242" s="20"/>
      <c r="K1242" s="20"/>
      <c r="L1242" s="19"/>
      <c r="M1242" s="19"/>
      <c r="N1242" s="19"/>
      <c r="O1242" s="20"/>
      <c r="P1242" s="20"/>
    </row>
    <row r="1243" customFormat="false" ht="14.25" hidden="false" customHeight="true" outlineLevel="0" collapsed="false">
      <c r="A1243" s="3" t="s">
        <v>1259</v>
      </c>
      <c r="B1243" s="3" t="s">
        <v>1260</v>
      </c>
      <c r="C1243" s="3" t="n">
        <v>226004</v>
      </c>
      <c r="D1243" s="3" t="s">
        <v>1277</v>
      </c>
      <c r="E1243" s="18" t="n">
        <v>45162</v>
      </c>
      <c r="F1243" s="3" t="s">
        <v>1262</v>
      </c>
      <c r="G1243" s="3" t="s">
        <v>5</v>
      </c>
      <c r="H1243" s="19"/>
      <c r="I1243" s="19"/>
      <c r="J1243" s="20"/>
      <c r="K1243" s="20"/>
      <c r="L1243" s="19"/>
      <c r="M1243" s="19"/>
      <c r="N1243" s="19"/>
      <c r="O1243" s="20"/>
      <c r="P1243" s="20"/>
    </row>
    <row r="1244" customFormat="false" ht="14.25" hidden="false" customHeight="true" outlineLevel="0" collapsed="false">
      <c r="A1244" s="3" t="s">
        <v>1259</v>
      </c>
      <c r="B1244" s="3" t="s">
        <v>1260</v>
      </c>
      <c r="C1244" s="3" t="n">
        <v>226004</v>
      </c>
      <c r="D1244" s="3" t="s">
        <v>1278</v>
      </c>
      <c r="E1244" s="18" t="n">
        <v>45174</v>
      </c>
      <c r="F1244" s="3" t="s">
        <v>1262</v>
      </c>
      <c r="G1244" s="3" t="s">
        <v>5</v>
      </c>
      <c r="H1244" s="19"/>
      <c r="I1244" s="19"/>
      <c r="J1244" s="20"/>
      <c r="K1244" s="20"/>
      <c r="L1244" s="19"/>
      <c r="M1244" s="19"/>
      <c r="N1244" s="19"/>
      <c r="O1244" s="20"/>
      <c r="P1244" s="20"/>
    </row>
    <row r="1245" customFormat="false" ht="14.25" hidden="false" customHeight="true" outlineLevel="0" collapsed="false">
      <c r="A1245" s="3" t="s">
        <v>1259</v>
      </c>
      <c r="B1245" s="3" t="s">
        <v>1260</v>
      </c>
      <c r="C1245" s="3" t="n">
        <v>226004</v>
      </c>
      <c r="D1245" s="3" t="s">
        <v>1488</v>
      </c>
      <c r="E1245" s="18" t="n">
        <v>45176</v>
      </c>
      <c r="F1245" s="3" t="s">
        <v>1262</v>
      </c>
      <c r="G1245" s="3" t="s">
        <v>5</v>
      </c>
      <c r="H1245" s="19"/>
      <c r="I1245" s="19"/>
      <c r="J1245" s="20"/>
      <c r="K1245" s="20"/>
      <c r="L1245" s="19"/>
      <c r="M1245" s="19"/>
      <c r="N1245" s="19"/>
      <c r="O1245" s="20"/>
      <c r="P1245" s="20"/>
    </row>
    <row r="1246" customFormat="false" ht="14.25" hidden="false" customHeight="true" outlineLevel="0" collapsed="false">
      <c r="A1246" s="3" t="s">
        <v>1259</v>
      </c>
      <c r="B1246" s="3" t="s">
        <v>1260</v>
      </c>
      <c r="C1246" s="3" t="n">
        <v>226004</v>
      </c>
      <c r="D1246" s="3" t="s">
        <v>1279</v>
      </c>
      <c r="E1246" s="18" t="n">
        <v>45190</v>
      </c>
      <c r="F1246" s="3" t="s">
        <v>1262</v>
      </c>
      <c r="G1246" s="3" t="s">
        <v>5</v>
      </c>
      <c r="H1246" s="19"/>
      <c r="I1246" s="19"/>
      <c r="J1246" s="20"/>
      <c r="K1246" s="20"/>
      <c r="L1246" s="19"/>
      <c r="M1246" s="19"/>
      <c r="N1246" s="19"/>
      <c r="O1246" s="20"/>
      <c r="P1246" s="20"/>
    </row>
    <row r="1247" customFormat="false" ht="14.25" hidden="false" customHeight="true" outlineLevel="0" collapsed="false">
      <c r="A1247" s="3" t="s">
        <v>1259</v>
      </c>
      <c r="B1247" s="3" t="s">
        <v>1260</v>
      </c>
      <c r="C1247" s="3" t="n">
        <v>226004</v>
      </c>
      <c r="D1247" s="3" t="s">
        <v>1396</v>
      </c>
      <c r="E1247" s="18" t="n">
        <v>45196</v>
      </c>
      <c r="F1247" s="3" t="s">
        <v>1262</v>
      </c>
      <c r="G1247" s="3" t="s">
        <v>1275</v>
      </c>
      <c r="H1247" s="19"/>
      <c r="I1247" s="19"/>
      <c r="J1247" s="20"/>
      <c r="K1247" s="20"/>
      <c r="L1247" s="19"/>
      <c r="M1247" s="19"/>
      <c r="N1247" s="19"/>
      <c r="O1247" s="20"/>
      <c r="P1247" s="20"/>
    </row>
    <row r="1248" customFormat="false" ht="14.25" hidden="false" customHeight="true" outlineLevel="0" collapsed="false">
      <c r="A1248" s="3" t="s">
        <v>1259</v>
      </c>
      <c r="B1248" s="3" t="s">
        <v>1260</v>
      </c>
      <c r="C1248" s="3" t="n">
        <v>226004</v>
      </c>
      <c r="D1248" s="3" t="s">
        <v>1281</v>
      </c>
      <c r="E1248" s="18" t="n">
        <v>45204</v>
      </c>
      <c r="F1248" s="3" t="s">
        <v>1262</v>
      </c>
      <c r="G1248" s="3" t="s">
        <v>5</v>
      </c>
      <c r="H1248" s="19"/>
      <c r="I1248" s="19"/>
      <c r="J1248" s="20"/>
      <c r="K1248" s="20"/>
      <c r="L1248" s="19"/>
      <c r="M1248" s="19"/>
      <c r="N1248" s="19"/>
      <c r="O1248" s="20"/>
      <c r="P1248" s="20"/>
    </row>
    <row r="1249" customFormat="false" ht="14.25" hidden="false" customHeight="true" outlineLevel="0" collapsed="false">
      <c r="A1249" s="3" t="s">
        <v>1259</v>
      </c>
      <c r="B1249" s="3" t="s">
        <v>1260</v>
      </c>
      <c r="C1249" s="3" t="n">
        <v>226004</v>
      </c>
      <c r="D1249" s="3" t="s">
        <v>1282</v>
      </c>
      <c r="E1249" s="18" t="n">
        <v>45218</v>
      </c>
      <c r="F1249" s="3" t="s">
        <v>1262</v>
      </c>
      <c r="G1249" s="3" t="s">
        <v>5</v>
      </c>
      <c r="H1249" s="19"/>
      <c r="I1249" s="19"/>
      <c r="J1249" s="20"/>
      <c r="K1249" s="20"/>
      <c r="L1249" s="19"/>
      <c r="M1249" s="19"/>
      <c r="N1249" s="19"/>
      <c r="O1249" s="20"/>
      <c r="P1249" s="20"/>
    </row>
    <row r="1250" customFormat="false" ht="14.25" hidden="false" customHeight="true" outlineLevel="0" collapsed="false">
      <c r="A1250" s="3" t="s">
        <v>1259</v>
      </c>
      <c r="B1250" s="3" t="s">
        <v>1260</v>
      </c>
      <c r="C1250" s="3" t="n">
        <v>226004</v>
      </c>
      <c r="D1250" s="3" t="s">
        <v>1283</v>
      </c>
      <c r="E1250" s="18" t="n">
        <v>45232</v>
      </c>
      <c r="F1250" s="3" t="s">
        <v>1262</v>
      </c>
      <c r="G1250" s="3" t="s">
        <v>5</v>
      </c>
      <c r="H1250" s="19"/>
      <c r="I1250" s="19"/>
      <c r="J1250" s="20"/>
      <c r="K1250" s="20"/>
      <c r="L1250" s="19"/>
      <c r="M1250" s="19"/>
      <c r="N1250" s="19"/>
      <c r="O1250" s="20"/>
      <c r="P1250" s="20"/>
    </row>
    <row r="1251" customFormat="false" ht="14.25" hidden="false" customHeight="true" outlineLevel="0" collapsed="false">
      <c r="A1251" s="3" t="s">
        <v>1259</v>
      </c>
      <c r="B1251" s="3" t="s">
        <v>1260</v>
      </c>
      <c r="C1251" s="3" t="n">
        <v>226004</v>
      </c>
      <c r="D1251" s="3" t="s">
        <v>1284</v>
      </c>
      <c r="E1251" s="18" t="n">
        <v>45246</v>
      </c>
      <c r="F1251" s="3" t="s">
        <v>1262</v>
      </c>
      <c r="G1251" s="3" t="s">
        <v>5</v>
      </c>
      <c r="H1251" s="19"/>
      <c r="I1251" s="19"/>
      <c r="J1251" s="20"/>
      <c r="K1251" s="20"/>
      <c r="L1251" s="19"/>
      <c r="M1251" s="19"/>
      <c r="N1251" s="19"/>
      <c r="O1251" s="20"/>
      <c r="P1251" s="20"/>
    </row>
    <row r="1252" customFormat="false" ht="14.25" hidden="false" customHeight="true" outlineLevel="0" collapsed="false">
      <c r="A1252" s="3" t="s">
        <v>1259</v>
      </c>
      <c r="B1252" s="3" t="s">
        <v>1260</v>
      </c>
      <c r="C1252" s="3" t="n">
        <v>226004</v>
      </c>
      <c r="D1252" s="3" t="s">
        <v>1397</v>
      </c>
      <c r="E1252" s="18" t="n">
        <v>45254</v>
      </c>
      <c r="F1252" s="3" t="s">
        <v>1262</v>
      </c>
      <c r="G1252" s="3" t="s">
        <v>1275</v>
      </c>
      <c r="H1252" s="19"/>
      <c r="I1252" s="19"/>
      <c r="J1252" s="20"/>
      <c r="K1252" s="20"/>
      <c r="L1252" s="19"/>
      <c r="M1252" s="19"/>
      <c r="N1252" s="19"/>
      <c r="O1252" s="20"/>
      <c r="P1252" s="20"/>
    </row>
    <row r="1253" customFormat="false" ht="14.25" hidden="false" customHeight="true" outlineLevel="0" collapsed="false">
      <c r="A1253" s="3" t="s">
        <v>1259</v>
      </c>
      <c r="B1253" s="3" t="s">
        <v>1260</v>
      </c>
      <c r="C1253" s="3" t="n">
        <v>226004</v>
      </c>
      <c r="D1253" s="3" t="s">
        <v>1286</v>
      </c>
      <c r="E1253" s="18" t="n">
        <v>45260</v>
      </c>
      <c r="F1253" s="3" t="s">
        <v>1262</v>
      </c>
      <c r="G1253" s="3" t="s">
        <v>5</v>
      </c>
      <c r="H1253" s="19"/>
      <c r="I1253" s="19"/>
      <c r="J1253" s="20"/>
      <c r="K1253" s="20"/>
      <c r="L1253" s="19"/>
      <c r="M1253" s="19"/>
      <c r="N1253" s="19"/>
      <c r="O1253" s="20"/>
      <c r="P1253" s="20"/>
    </row>
    <row r="1254" customFormat="false" ht="14.25" hidden="false" customHeight="true" outlineLevel="0" collapsed="false">
      <c r="A1254" s="3" t="s">
        <v>1259</v>
      </c>
      <c r="B1254" s="3" t="s">
        <v>1260</v>
      </c>
      <c r="C1254" s="3" t="n">
        <v>226004</v>
      </c>
      <c r="D1254" s="3" t="s">
        <v>1287</v>
      </c>
      <c r="E1254" s="18" t="n">
        <v>45274</v>
      </c>
      <c r="F1254" s="3" t="s">
        <v>1262</v>
      </c>
      <c r="G1254" s="3" t="s">
        <v>5</v>
      </c>
      <c r="H1254" s="19"/>
      <c r="I1254" s="19"/>
      <c r="J1254" s="20"/>
      <c r="K1254" s="20"/>
      <c r="L1254" s="19"/>
      <c r="M1254" s="19"/>
      <c r="N1254" s="19"/>
      <c r="O1254" s="20"/>
      <c r="P1254" s="20"/>
    </row>
    <row r="1255" customFormat="false" ht="14.25" hidden="false" customHeight="true" outlineLevel="0" collapsed="false">
      <c r="A1255" s="3" t="s">
        <v>1259</v>
      </c>
      <c r="B1255" s="3" t="s">
        <v>1260</v>
      </c>
      <c r="C1255" s="3" t="n">
        <v>226004</v>
      </c>
      <c r="D1255" s="3" t="s">
        <v>1288</v>
      </c>
      <c r="E1255" s="18" t="n">
        <v>45288</v>
      </c>
      <c r="F1255" s="3" t="s">
        <v>1262</v>
      </c>
      <c r="G1255" s="3" t="s">
        <v>5</v>
      </c>
      <c r="H1255" s="19"/>
      <c r="I1255" s="19"/>
      <c r="J1255" s="20"/>
      <c r="K1255" s="20"/>
      <c r="L1255" s="19"/>
      <c r="M1255" s="19"/>
      <c r="N1255" s="19"/>
      <c r="O1255" s="20"/>
      <c r="P1255" s="20"/>
    </row>
    <row r="1256" customFormat="false" ht="14.25" hidden="false" customHeight="true" outlineLevel="0" collapsed="false">
      <c r="A1256" s="3" t="s">
        <v>1259</v>
      </c>
      <c r="B1256" s="3" t="s">
        <v>1260</v>
      </c>
      <c r="C1256" s="3" t="n">
        <v>226004</v>
      </c>
      <c r="D1256" s="3" t="s">
        <v>1289</v>
      </c>
      <c r="E1256" s="18" t="n">
        <v>45302</v>
      </c>
      <c r="F1256" s="3" t="s">
        <v>1262</v>
      </c>
      <c r="G1256" s="3" t="s">
        <v>5</v>
      </c>
      <c r="H1256" s="19"/>
      <c r="I1256" s="19"/>
      <c r="J1256" s="20"/>
      <c r="K1256" s="20"/>
      <c r="L1256" s="19"/>
      <c r="M1256" s="19"/>
      <c r="N1256" s="19"/>
      <c r="O1256" s="20"/>
      <c r="P1256" s="20"/>
    </row>
    <row r="1257" customFormat="false" ht="14.25" hidden="false" customHeight="true" outlineLevel="0" collapsed="false">
      <c r="A1257" s="3" t="s">
        <v>1259</v>
      </c>
      <c r="B1257" s="3" t="s">
        <v>1260</v>
      </c>
      <c r="C1257" s="3" t="n">
        <v>226004</v>
      </c>
      <c r="D1257" s="3" t="s">
        <v>1290</v>
      </c>
      <c r="E1257" s="18" t="n">
        <v>45316</v>
      </c>
      <c r="F1257" s="3" t="s">
        <v>1262</v>
      </c>
      <c r="G1257" s="3" t="s">
        <v>5</v>
      </c>
      <c r="H1257" s="19"/>
      <c r="I1257" s="19"/>
      <c r="J1257" s="20"/>
      <c r="K1257" s="20"/>
      <c r="L1257" s="19"/>
      <c r="M1257" s="19"/>
      <c r="N1257" s="19"/>
      <c r="O1257" s="20"/>
      <c r="P1257" s="20"/>
    </row>
    <row r="1258" customFormat="false" ht="14.25" hidden="false" customHeight="true" outlineLevel="0" collapsed="false">
      <c r="A1258" s="3" t="s">
        <v>1259</v>
      </c>
      <c r="B1258" s="3" t="s">
        <v>1260</v>
      </c>
      <c r="C1258" s="3" t="n">
        <v>226004</v>
      </c>
      <c r="D1258" s="3" t="s">
        <v>1321</v>
      </c>
      <c r="E1258" s="18" t="n">
        <v>45316</v>
      </c>
      <c r="F1258" s="3" t="s">
        <v>1262</v>
      </c>
      <c r="G1258" s="3" t="s">
        <v>1275</v>
      </c>
      <c r="H1258" s="19"/>
      <c r="I1258" s="19"/>
      <c r="J1258" s="20"/>
      <c r="K1258" s="20"/>
      <c r="L1258" s="19"/>
      <c r="M1258" s="19"/>
      <c r="N1258" s="19"/>
      <c r="O1258" s="20"/>
      <c r="P1258" s="20"/>
    </row>
    <row r="1259" customFormat="false" ht="14.25" hidden="false" customHeight="true" outlineLevel="0" collapsed="false">
      <c r="A1259" s="3" t="s">
        <v>1259</v>
      </c>
      <c r="B1259" s="3" t="s">
        <v>1260</v>
      </c>
      <c r="C1259" s="3" t="n">
        <v>226004</v>
      </c>
      <c r="D1259" s="3" t="s">
        <v>1292</v>
      </c>
      <c r="E1259" s="18" t="n">
        <v>45330</v>
      </c>
      <c r="F1259" s="3" t="s">
        <v>1262</v>
      </c>
      <c r="G1259" s="3" t="s">
        <v>5</v>
      </c>
      <c r="H1259" s="19"/>
      <c r="I1259" s="19"/>
      <c r="J1259" s="20"/>
      <c r="K1259" s="20"/>
      <c r="L1259" s="19"/>
      <c r="M1259" s="19"/>
      <c r="N1259" s="19"/>
      <c r="O1259" s="20"/>
      <c r="P1259" s="20"/>
    </row>
    <row r="1260" customFormat="false" ht="14.25" hidden="false" customHeight="true" outlineLevel="0" collapsed="false">
      <c r="A1260" s="3" t="s">
        <v>1259</v>
      </c>
      <c r="B1260" s="3" t="s">
        <v>1260</v>
      </c>
      <c r="C1260" s="3" t="n">
        <v>226004</v>
      </c>
      <c r="D1260" s="3" t="s">
        <v>1293</v>
      </c>
      <c r="E1260" s="18" t="n">
        <v>45344</v>
      </c>
      <c r="F1260" s="3" t="s">
        <v>1262</v>
      </c>
      <c r="G1260" s="3" t="s">
        <v>5</v>
      </c>
      <c r="H1260" s="19"/>
      <c r="I1260" s="19"/>
      <c r="J1260" s="20"/>
      <c r="K1260" s="20"/>
      <c r="L1260" s="19"/>
      <c r="M1260" s="19"/>
      <c r="N1260" s="19"/>
      <c r="O1260" s="20"/>
      <c r="P1260" s="20"/>
    </row>
    <row r="1261" customFormat="false" ht="14.25" hidden="false" customHeight="true" outlineLevel="0" collapsed="false">
      <c r="A1261" s="3" t="s">
        <v>1259</v>
      </c>
      <c r="B1261" s="3" t="s">
        <v>1260</v>
      </c>
      <c r="C1261" s="3" t="n">
        <v>226004</v>
      </c>
      <c r="D1261" s="3" t="s">
        <v>1294</v>
      </c>
      <c r="E1261" s="18" t="n">
        <v>45358</v>
      </c>
      <c r="F1261" s="3" t="s">
        <v>1262</v>
      </c>
      <c r="G1261" s="3" t="s">
        <v>5</v>
      </c>
      <c r="H1261" s="19"/>
      <c r="I1261" s="19"/>
      <c r="J1261" s="20"/>
      <c r="K1261" s="20"/>
      <c r="L1261" s="19"/>
      <c r="M1261" s="19"/>
      <c r="N1261" s="19"/>
      <c r="O1261" s="20"/>
      <c r="P1261" s="20"/>
    </row>
    <row r="1262" customFormat="false" ht="14.25" hidden="false" customHeight="true" outlineLevel="0" collapsed="false">
      <c r="A1262" s="3" t="s">
        <v>1259</v>
      </c>
      <c r="B1262" s="3" t="s">
        <v>1260</v>
      </c>
      <c r="C1262" s="3" t="n">
        <v>226004</v>
      </c>
      <c r="D1262" s="3" t="s">
        <v>1496</v>
      </c>
      <c r="E1262" s="18" t="n">
        <v>45366</v>
      </c>
      <c r="F1262" s="3" t="s">
        <v>1262</v>
      </c>
      <c r="G1262" s="3" t="s">
        <v>1275</v>
      </c>
      <c r="H1262" s="19"/>
      <c r="I1262" s="19"/>
      <c r="J1262" s="20"/>
      <c r="K1262" s="20"/>
      <c r="L1262" s="19"/>
      <c r="M1262" s="19"/>
      <c r="N1262" s="19"/>
      <c r="O1262" s="20"/>
      <c r="P1262" s="20"/>
    </row>
    <row r="1263" customFormat="false" ht="14.25" hidden="false" customHeight="true" outlineLevel="0" collapsed="false">
      <c r="A1263" s="3" t="s">
        <v>1259</v>
      </c>
      <c r="B1263" s="3" t="s">
        <v>1260</v>
      </c>
      <c r="C1263" s="3" t="n">
        <v>226004</v>
      </c>
      <c r="D1263" s="3" t="s">
        <v>1295</v>
      </c>
      <c r="E1263" s="18" t="n">
        <v>45372</v>
      </c>
      <c r="F1263" s="3" t="s">
        <v>1262</v>
      </c>
      <c r="G1263" s="3" t="s">
        <v>5</v>
      </c>
      <c r="H1263" s="19"/>
      <c r="I1263" s="19"/>
      <c r="J1263" s="20"/>
      <c r="K1263" s="20"/>
      <c r="L1263" s="19"/>
      <c r="M1263" s="19"/>
      <c r="N1263" s="19"/>
      <c r="O1263" s="20"/>
      <c r="P1263" s="20"/>
    </row>
    <row r="1264" customFormat="false" ht="14.25" hidden="false" customHeight="true" outlineLevel="0" collapsed="false">
      <c r="A1264" s="3" t="s">
        <v>1259</v>
      </c>
      <c r="B1264" s="3" t="s">
        <v>1260</v>
      </c>
      <c r="C1264" s="3" t="n">
        <v>226004</v>
      </c>
      <c r="D1264" s="3" t="s">
        <v>1297</v>
      </c>
      <c r="E1264" s="18" t="n">
        <v>45386</v>
      </c>
      <c r="F1264" s="3" t="s">
        <v>1262</v>
      </c>
      <c r="G1264" s="3" t="s">
        <v>5</v>
      </c>
      <c r="H1264" s="19"/>
      <c r="I1264" s="19"/>
      <c r="J1264" s="20"/>
      <c r="K1264" s="20"/>
      <c r="L1264" s="19"/>
      <c r="M1264" s="19"/>
      <c r="N1264" s="19"/>
      <c r="O1264" s="20"/>
      <c r="P1264" s="20"/>
    </row>
    <row r="1265" customFormat="false" ht="14.25" hidden="false" customHeight="true" outlineLevel="0" collapsed="false">
      <c r="A1265" s="3" t="s">
        <v>1259</v>
      </c>
      <c r="B1265" s="3" t="s">
        <v>1260</v>
      </c>
      <c r="C1265" s="3" t="n">
        <v>226004</v>
      </c>
      <c r="D1265" s="3" t="s">
        <v>1298</v>
      </c>
      <c r="E1265" s="18" t="n">
        <v>45400</v>
      </c>
      <c r="F1265" s="3" t="s">
        <v>1262</v>
      </c>
      <c r="G1265" s="3" t="s">
        <v>5</v>
      </c>
      <c r="H1265" s="19"/>
      <c r="I1265" s="19"/>
      <c r="J1265" s="20"/>
      <c r="K1265" s="20"/>
      <c r="L1265" s="19"/>
      <c r="M1265" s="19"/>
      <c r="N1265" s="19"/>
      <c r="O1265" s="20"/>
      <c r="P1265" s="20"/>
    </row>
    <row r="1266" customFormat="false" ht="14.25" hidden="false" customHeight="true" outlineLevel="0" collapsed="false">
      <c r="A1266" s="3" t="s">
        <v>1259</v>
      </c>
      <c r="B1266" s="3" t="s">
        <v>1260</v>
      </c>
      <c r="C1266" s="3" t="n">
        <v>226004</v>
      </c>
      <c r="D1266" s="3" t="s">
        <v>1299</v>
      </c>
      <c r="E1266" s="18" t="n">
        <v>45414</v>
      </c>
      <c r="F1266" s="3" t="s">
        <v>1262</v>
      </c>
      <c r="G1266" s="3" t="s">
        <v>5</v>
      </c>
      <c r="H1266" s="19"/>
      <c r="I1266" s="19"/>
      <c r="J1266" s="20"/>
      <c r="K1266" s="20"/>
      <c r="L1266" s="19"/>
      <c r="M1266" s="19"/>
      <c r="N1266" s="19"/>
      <c r="O1266" s="20"/>
      <c r="P1266" s="20"/>
    </row>
    <row r="1267" customFormat="false" ht="14.25" hidden="false" customHeight="true" outlineLevel="0" collapsed="false">
      <c r="A1267" s="3" t="s">
        <v>1259</v>
      </c>
      <c r="B1267" s="3" t="s">
        <v>1260</v>
      </c>
      <c r="C1267" s="3" t="n">
        <v>226004</v>
      </c>
      <c r="D1267" s="3" t="s">
        <v>1416</v>
      </c>
      <c r="E1267" s="18" t="n">
        <v>45420</v>
      </c>
      <c r="F1267" s="3" t="s">
        <v>1262</v>
      </c>
      <c r="G1267" s="3" t="s">
        <v>1275</v>
      </c>
      <c r="H1267" s="19"/>
      <c r="I1267" s="19"/>
      <c r="J1267" s="20"/>
      <c r="K1267" s="20"/>
      <c r="L1267" s="19"/>
      <c r="M1267" s="19"/>
      <c r="N1267" s="19"/>
      <c r="O1267" s="20"/>
      <c r="P1267" s="20"/>
    </row>
    <row r="1268" customFormat="false" ht="14.25" hidden="false" customHeight="true" outlineLevel="0" collapsed="false">
      <c r="A1268" s="3" t="s">
        <v>1259</v>
      </c>
      <c r="B1268" s="3" t="s">
        <v>1260</v>
      </c>
      <c r="C1268" s="3" t="n">
        <v>226004</v>
      </c>
      <c r="D1268" s="3" t="s">
        <v>1300</v>
      </c>
      <c r="E1268" s="18" t="n">
        <v>45428</v>
      </c>
      <c r="F1268" s="3" t="s">
        <v>1262</v>
      </c>
      <c r="G1268" s="3" t="s">
        <v>5</v>
      </c>
      <c r="H1268" s="19"/>
      <c r="I1268" s="19"/>
      <c r="J1268" s="20"/>
      <c r="K1268" s="20"/>
      <c r="L1268" s="19"/>
      <c r="M1268" s="19"/>
      <c r="N1268" s="19"/>
      <c r="O1268" s="20"/>
      <c r="P1268" s="20"/>
    </row>
    <row r="1269" customFormat="false" ht="14.25" hidden="false" customHeight="true" outlineLevel="0" collapsed="false">
      <c r="A1269" s="3" t="s">
        <v>1259</v>
      </c>
      <c r="B1269" s="3" t="s">
        <v>1260</v>
      </c>
      <c r="C1269" s="3" t="n">
        <v>226004</v>
      </c>
      <c r="D1269" s="3" t="s">
        <v>1489</v>
      </c>
      <c r="F1269" s="3" t="s">
        <v>1262</v>
      </c>
      <c r="G1269" s="3" t="s">
        <v>5</v>
      </c>
      <c r="H1269" s="19"/>
      <c r="I1269" s="19"/>
      <c r="J1269" s="20"/>
      <c r="K1269" s="20"/>
      <c r="L1269" s="19"/>
      <c r="M1269" s="19"/>
      <c r="N1269" s="19"/>
      <c r="O1269" s="20"/>
      <c r="P1269" s="20"/>
    </row>
    <row r="1270" customFormat="false" ht="14.25" hidden="false" customHeight="true" outlineLevel="0" collapsed="false">
      <c r="A1270" s="3" t="s">
        <v>1259</v>
      </c>
      <c r="B1270" s="3" t="s">
        <v>1260</v>
      </c>
      <c r="C1270" s="3" t="n">
        <v>226004</v>
      </c>
      <c r="D1270" s="3" t="s">
        <v>1490</v>
      </c>
      <c r="F1270" s="3" t="s">
        <v>1262</v>
      </c>
      <c r="G1270" s="3" t="s">
        <v>5</v>
      </c>
      <c r="H1270" s="19"/>
      <c r="I1270" s="19"/>
      <c r="J1270" s="20"/>
      <c r="K1270" s="20"/>
      <c r="L1270" s="19"/>
      <c r="M1270" s="19"/>
      <c r="N1270" s="19"/>
      <c r="O1270" s="20"/>
      <c r="P1270" s="20"/>
    </row>
    <row r="1271" customFormat="false" ht="14.25" hidden="false" customHeight="true" outlineLevel="0" collapsed="false">
      <c r="A1271" s="3" t="s">
        <v>1259</v>
      </c>
      <c r="B1271" s="3" t="s">
        <v>1260</v>
      </c>
      <c r="C1271" s="3" t="n">
        <v>226005</v>
      </c>
      <c r="D1271" s="3" t="s">
        <v>1261</v>
      </c>
      <c r="E1271" s="18" t="n">
        <v>45070</v>
      </c>
      <c r="F1271" s="3" t="s">
        <v>1262</v>
      </c>
      <c r="G1271" s="3" t="s">
        <v>5</v>
      </c>
      <c r="H1271" s="19" t="n">
        <v>45070</v>
      </c>
      <c r="I1271" s="19" t="n">
        <v>44957</v>
      </c>
      <c r="J1271" s="20" t="n">
        <v>34</v>
      </c>
      <c r="K1271" s="20" t="s">
        <v>1263</v>
      </c>
      <c r="L1271" s="19" t="s">
        <v>12</v>
      </c>
      <c r="M1271" s="19"/>
      <c r="N1271" s="19"/>
      <c r="O1271" s="20"/>
      <c r="P1271" s="20"/>
    </row>
    <row r="1272" customFormat="false" ht="14.25" hidden="false" customHeight="true" outlineLevel="0" collapsed="false">
      <c r="A1272" s="3" t="s">
        <v>1259</v>
      </c>
      <c r="B1272" s="3" t="s">
        <v>1260</v>
      </c>
      <c r="C1272" s="3" t="n">
        <v>226005</v>
      </c>
      <c r="D1272" s="3" t="s">
        <v>1264</v>
      </c>
      <c r="E1272" s="18" t="n">
        <v>45089</v>
      </c>
      <c r="F1272" s="3" t="s">
        <v>1262</v>
      </c>
      <c r="G1272" s="3" t="s">
        <v>5</v>
      </c>
      <c r="H1272" s="19"/>
      <c r="I1272" s="19"/>
      <c r="J1272" s="20"/>
      <c r="K1272" s="20"/>
      <c r="L1272" s="19"/>
      <c r="M1272" s="19"/>
      <c r="N1272" s="19"/>
      <c r="O1272" s="20"/>
      <c r="P1272" s="20"/>
    </row>
    <row r="1273" customFormat="false" ht="14.25" hidden="false" customHeight="true" outlineLevel="0" collapsed="false">
      <c r="A1273" s="3" t="s">
        <v>1259</v>
      </c>
      <c r="B1273" s="3" t="s">
        <v>1260</v>
      </c>
      <c r="C1273" s="3" t="n">
        <v>226005</v>
      </c>
      <c r="D1273" s="3" t="s">
        <v>1265</v>
      </c>
      <c r="E1273" s="18" t="n">
        <v>45091</v>
      </c>
      <c r="F1273" s="3" t="s">
        <v>1262</v>
      </c>
      <c r="G1273" s="3" t="s">
        <v>5</v>
      </c>
      <c r="H1273" s="19"/>
      <c r="I1273" s="19"/>
      <c r="J1273" s="20"/>
      <c r="K1273" s="20"/>
      <c r="L1273" s="19"/>
      <c r="M1273" s="19"/>
      <c r="N1273" s="19"/>
      <c r="O1273" s="20"/>
      <c r="P1273" s="20"/>
    </row>
    <row r="1274" customFormat="false" ht="14.25" hidden="false" customHeight="true" outlineLevel="0" collapsed="false">
      <c r="A1274" s="3" t="s">
        <v>1259</v>
      </c>
      <c r="B1274" s="3" t="s">
        <v>1260</v>
      </c>
      <c r="C1274" s="3" t="n">
        <v>226005</v>
      </c>
      <c r="D1274" s="3" t="s">
        <v>1266</v>
      </c>
      <c r="E1274" s="18" t="n">
        <v>45097</v>
      </c>
      <c r="F1274" s="3" t="s">
        <v>1262</v>
      </c>
      <c r="G1274" s="3" t="s">
        <v>5</v>
      </c>
      <c r="H1274" s="19"/>
      <c r="I1274" s="19"/>
      <c r="J1274" s="20"/>
      <c r="K1274" s="20"/>
      <c r="L1274" s="19"/>
      <c r="M1274" s="19"/>
      <c r="N1274" s="19"/>
      <c r="O1274" s="20"/>
      <c r="P1274" s="20"/>
    </row>
    <row r="1275" customFormat="false" ht="14.25" hidden="false" customHeight="true" outlineLevel="0" collapsed="false">
      <c r="A1275" s="3" t="s">
        <v>1259</v>
      </c>
      <c r="B1275" s="3" t="s">
        <v>1260</v>
      </c>
      <c r="C1275" s="3" t="n">
        <v>226005</v>
      </c>
      <c r="D1275" s="3" t="s">
        <v>1269</v>
      </c>
      <c r="E1275" s="18" t="n">
        <v>45104</v>
      </c>
      <c r="F1275" s="3" t="s">
        <v>1262</v>
      </c>
      <c r="G1275" s="3" t="s">
        <v>5</v>
      </c>
      <c r="H1275" s="19"/>
      <c r="I1275" s="19"/>
      <c r="J1275" s="20"/>
      <c r="K1275" s="20"/>
      <c r="L1275" s="19"/>
      <c r="M1275" s="19"/>
      <c r="N1275" s="19"/>
      <c r="O1275" s="20"/>
      <c r="P1275" s="20"/>
    </row>
    <row r="1276" customFormat="false" ht="14.25" hidden="false" customHeight="true" outlineLevel="0" collapsed="false">
      <c r="A1276" s="3" t="s">
        <v>1259</v>
      </c>
      <c r="B1276" s="3" t="s">
        <v>1260</v>
      </c>
      <c r="C1276" s="3" t="n">
        <v>226005</v>
      </c>
      <c r="D1276" s="3" t="s">
        <v>1270</v>
      </c>
      <c r="E1276" s="18" t="n">
        <v>45111</v>
      </c>
      <c r="F1276" s="3" t="s">
        <v>1262</v>
      </c>
      <c r="G1276" s="3" t="s">
        <v>5</v>
      </c>
      <c r="H1276" s="19"/>
      <c r="I1276" s="19"/>
      <c r="J1276" s="20"/>
      <c r="K1276" s="20"/>
      <c r="L1276" s="19"/>
      <c r="M1276" s="19"/>
      <c r="N1276" s="19"/>
      <c r="O1276" s="20"/>
      <c r="P1276" s="20"/>
    </row>
    <row r="1277" customFormat="false" ht="14.25" hidden="false" customHeight="true" outlineLevel="0" collapsed="false">
      <c r="A1277" s="3" t="s">
        <v>1259</v>
      </c>
      <c r="B1277" s="3" t="s">
        <v>1260</v>
      </c>
      <c r="C1277" s="3" t="n">
        <v>226005</v>
      </c>
      <c r="D1277" s="3" t="s">
        <v>1271</v>
      </c>
      <c r="E1277" s="18" t="n">
        <v>45118</v>
      </c>
      <c r="F1277" s="3" t="s">
        <v>1262</v>
      </c>
      <c r="G1277" s="3" t="s">
        <v>5</v>
      </c>
      <c r="H1277" s="19"/>
      <c r="I1277" s="19"/>
      <c r="J1277" s="20"/>
      <c r="K1277" s="20"/>
      <c r="L1277" s="19"/>
      <c r="M1277" s="19"/>
      <c r="N1277" s="19"/>
      <c r="O1277" s="20"/>
      <c r="P1277" s="20"/>
    </row>
    <row r="1278" customFormat="false" ht="14.25" hidden="false" customHeight="true" outlineLevel="0" collapsed="false">
      <c r="A1278" s="3" t="s">
        <v>1259</v>
      </c>
      <c r="B1278" s="3" t="s">
        <v>1260</v>
      </c>
      <c r="C1278" s="3" t="n">
        <v>226005</v>
      </c>
      <c r="D1278" s="3" t="s">
        <v>1272</v>
      </c>
      <c r="E1278" s="18" t="n">
        <v>45120</v>
      </c>
      <c r="F1278" s="3" t="s">
        <v>1262</v>
      </c>
      <c r="G1278" s="3" t="s">
        <v>5</v>
      </c>
      <c r="H1278" s="19"/>
      <c r="I1278" s="19"/>
      <c r="J1278" s="20"/>
      <c r="K1278" s="20"/>
      <c r="L1278" s="19"/>
      <c r="M1278" s="19"/>
      <c r="N1278" s="19"/>
      <c r="O1278" s="20"/>
      <c r="P1278" s="20"/>
    </row>
    <row r="1279" customFormat="false" ht="14.25" hidden="false" customHeight="true" outlineLevel="0" collapsed="false">
      <c r="A1279" s="3" t="s">
        <v>1259</v>
      </c>
      <c r="B1279" s="3" t="s">
        <v>1260</v>
      </c>
      <c r="C1279" s="3" t="n">
        <v>226005</v>
      </c>
      <c r="D1279" s="3" t="s">
        <v>1273</v>
      </c>
      <c r="E1279" s="18" t="n">
        <v>45132</v>
      </c>
      <c r="F1279" s="3" t="s">
        <v>1262</v>
      </c>
      <c r="G1279" s="3" t="s">
        <v>5</v>
      </c>
      <c r="H1279" s="19"/>
      <c r="I1279" s="19"/>
      <c r="J1279" s="20"/>
      <c r="K1279" s="20"/>
      <c r="L1279" s="19"/>
      <c r="M1279" s="19"/>
      <c r="N1279" s="19"/>
      <c r="O1279" s="20"/>
      <c r="P1279" s="20"/>
    </row>
    <row r="1280" customFormat="false" ht="14.25" hidden="false" customHeight="true" outlineLevel="0" collapsed="false">
      <c r="A1280" s="3" t="s">
        <v>1259</v>
      </c>
      <c r="B1280" s="3" t="s">
        <v>1260</v>
      </c>
      <c r="C1280" s="3" t="n">
        <v>226005</v>
      </c>
      <c r="D1280" s="3" t="s">
        <v>1497</v>
      </c>
      <c r="E1280" s="18" t="n">
        <v>45143</v>
      </c>
      <c r="F1280" s="3" t="s">
        <v>1262</v>
      </c>
      <c r="G1280" s="3" t="s">
        <v>1275</v>
      </c>
      <c r="H1280" s="19"/>
      <c r="I1280" s="19"/>
      <c r="J1280" s="20"/>
      <c r="K1280" s="20"/>
      <c r="L1280" s="19"/>
      <c r="M1280" s="19"/>
      <c r="N1280" s="19"/>
      <c r="O1280" s="20"/>
      <c r="P1280" s="20"/>
    </row>
    <row r="1281" customFormat="false" ht="14.25" hidden="false" customHeight="true" outlineLevel="0" collapsed="false">
      <c r="A1281" s="3" t="s">
        <v>1259</v>
      </c>
      <c r="B1281" s="3" t="s">
        <v>1260</v>
      </c>
      <c r="C1281" s="3" t="n">
        <v>226005</v>
      </c>
      <c r="D1281" s="3" t="s">
        <v>1276</v>
      </c>
      <c r="E1281" s="18" t="n">
        <v>45146</v>
      </c>
      <c r="F1281" s="3" t="s">
        <v>1262</v>
      </c>
      <c r="G1281" s="3" t="s">
        <v>5</v>
      </c>
      <c r="H1281" s="19"/>
      <c r="I1281" s="19"/>
      <c r="J1281" s="20"/>
      <c r="K1281" s="20"/>
      <c r="L1281" s="19"/>
      <c r="M1281" s="19"/>
      <c r="N1281" s="19"/>
      <c r="O1281" s="20"/>
      <c r="P1281" s="20"/>
    </row>
    <row r="1282" customFormat="false" ht="14.25" hidden="false" customHeight="true" outlineLevel="0" collapsed="false">
      <c r="A1282" s="3" t="s">
        <v>1259</v>
      </c>
      <c r="B1282" s="3" t="s">
        <v>1260</v>
      </c>
      <c r="C1282" s="3" t="n">
        <v>226005</v>
      </c>
      <c r="D1282" s="3" t="s">
        <v>1277</v>
      </c>
      <c r="E1282" s="18" t="n">
        <v>45160</v>
      </c>
      <c r="F1282" s="3" t="s">
        <v>1262</v>
      </c>
      <c r="G1282" s="3" t="s">
        <v>5</v>
      </c>
      <c r="H1282" s="19"/>
      <c r="I1282" s="19"/>
      <c r="J1282" s="20"/>
      <c r="K1282" s="20"/>
      <c r="L1282" s="19"/>
      <c r="M1282" s="19"/>
      <c r="N1282" s="19"/>
      <c r="O1282" s="20"/>
      <c r="P1282" s="20"/>
    </row>
    <row r="1283" customFormat="false" ht="14.25" hidden="false" customHeight="true" outlineLevel="0" collapsed="false">
      <c r="A1283" s="3" t="s">
        <v>1259</v>
      </c>
      <c r="B1283" s="3" t="s">
        <v>1260</v>
      </c>
      <c r="C1283" s="3" t="n">
        <v>226005</v>
      </c>
      <c r="D1283" s="3" t="s">
        <v>1278</v>
      </c>
      <c r="E1283" s="18" t="n">
        <v>45173</v>
      </c>
      <c r="F1283" s="3" t="s">
        <v>1262</v>
      </c>
      <c r="G1283" s="3" t="s">
        <v>5</v>
      </c>
      <c r="H1283" s="19"/>
      <c r="I1283" s="19"/>
      <c r="J1283" s="20"/>
      <c r="K1283" s="20"/>
      <c r="L1283" s="19"/>
      <c r="M1283" s="19"/>
      <c r="N1283" s="19"/>
      <c r="O1283" s="20"/>
      <c r="P1283" s="20"/>
    </row>
    <row r="1284" customFormat="false" ht="14.25" hidden="false" customHeight="true" outlineLevel="0" collapsed="false">
      <c r="A1284" s="3" t="s">
        <v>1259</v>
      </c>
      <c r="B1284" s="3" t="s">
        <v>1260</v>
      </c>
      <c r="C1284" s="3" t="n">
        <v>226005</v>
      </c>
      <c r="D1284" s="3" t="s">
        <v>1488</v>
      </c>
      <c r="E1284" s="18" t="n">
        <v>45175</v>
      </c>
      <c r="F1284" s="3" t="s">
        <v>1262</v>
      </c>
      <c r="G1284" s="3" t="s">
        <v>5</v>
      </c>
      <c r="H1284" s="19"/>
      <c r="I1284" s="19"/>
      <c r="J1284" s="20"/>
      <c r="K1284" s="20"/>
      <c r="L1284" s="19"/>
      <c r="M1284" s="19"/>
      <c r="N1284" s="19"/>
      <c r="O1284" s="20"/>
      <c r="P1284" s="20"/>
    </row>
    <row r="1285" customFormat="false" ht="14.25" hidden="false" customHeight="true" outlineLevel="0" collapsed="false">
      <c r="A1285" s="3" t="s">
        <v>1259</v>
      </c>
      <c r="B1285" s="3" t="s">
        <v>1260</v>
      </c>
      <c r="C1285" s="3" t="n">
        <v>226005</v>
      </c>
      <c r="D1285" s="3" t="s">
        <v>1490</v>
      </c>
      <c r="E1285" s="18" t="n">
        <v>45180</v>
      </c>
      <c r="F1285" s="3" t="s">
        <v>1262</v>
      </c>
      <c r="G1285" s="3" t="s">
        <v>5</v>
      </c>
      <c r="H1285" s="19"/>
      <c r="I1285" s="19"/>
      <c r="J1285" s="20"/>
      <c r="K1285" s="20"/>
      <c r="L1285" s="19"/>
      <c r="M1285" s="19"/>
      <c r="N1285" s="19"/>
      <c r="O1285" s="20"/>
      <c r="P1285" s="20"/>
    </row>
    <row r="1286" customFormat="false" ht="14.25" hidden="false" customHeight="true" outlineLevel="0" collapsed="false">
      <c r="A1286" s="3" t="s">
        <v>1259</v>
      </c>
      <c r="B1286" s="3" t="s">
        <v>1260</v>
      </c>
      <c r="C1286" s="3" t="n">
        <v>226005</v>
      </c>
      <c r="D1286" s="3" t="s">
        <v>1279</v>
      </c>
      <c r="E1286" s="18" t="n">
        <v>45188</v>
      </c>
      <c r="F1286" s="3" t="s">
        <v>1262</v>
      </c>
      <c r="G1286" s="3" t="s">
        <v>5</v>
      </c>
      <c r="H1286" s="19"/>
      <c r="I1286" s="19"/>
      <c r="J1286" s="20"/>
      <c r="K1286" s="20"/>
      <c r="L1286" s="19"/>
      <c r="M1286" s="19"/>
      <c r="N1286" s="19"/>
      <c r="O1286" s="20"/>
      <c r="P1286" s="20"/>
    </row>
    <row r="1287" customFormat="false" ht="14.25" hidden="false" customHeight="true" outlineLevel="0" collapsed="false">
      <c r="A1287" s="3" t="s">
        <v>1259</v>
      </c>
      <c r="B1287" s="3" t="s">
        <v>1260</v>
      </c>
      <c r="C1287" s="3" t="n">
        <v>226005</v>
      </c>
      <c r="D1287" s="3" t="s">
        <v>1498</v>
      </c>
      <c r="E1287" s="18" t="n">
        <v>45195</v>
      </c>
      <c r="F1287" s="3" t="s">
        <v>1262</v>
      </c>
      <c r="G1287" s="3" t="s">
        <v>1275</v>
      </c>
      <c r="H1287" s="19"/>
      <c r="I1287" s="19"/>
      <c r="J1287" s="20"/>
      <c r="K1287" s="20"/>
      <c r="L1287" s="19"/>
      <c r="M1287" s="19"/>
      <c r="N1287" s="19"/>
      <c r="O1287" s="20"/>
      <c r="P1287" s="20"/>
    </row>
    <row r="1288" customFormat="false" ht="14.25" hidden="false" customHeight="true" outlineLevel="0" collapsed="false">
      <c r="A1288" s="3" t="s">
        <v>1259</v>
      </c>
      <c r="B1288" s="3" t="s">
        <v>1260</v>
      </c>
      <c r="C1288" s="3" t="n">
        <v>226005</v>
      </c>
      <c r="D1288" s="3" t="s">
        <v>1281</v>
      </c>
      <c r="E1288" s="18" t="n">
        <v>45203</v>
      </c>
      <c r="F1288" s="3" t="s">
        <v>1262</v>
      </c>
      <c r="G1288" s="3" t="s">
        <v>5</v>
      </c>
      <c r="H1288" s="19"/>
      <c r="I1288" s="19"/>
      <c r="J1288" s="20"/>
      <c r="K1288" s="20"/>
      <c r="L1288" s="19"/>
      <c r="M1288" s="19"/>
      <c r="N1288" s="19"/>
      <c r="O1288" s="20"/>
      <c r="P1288" s="20"/>
    </row>
    <row r="1289" customFormat="false" ht="14.25" hidden="false" customHeight="true" outlineLevel="0" collapsed="false">
      <c r="A1289" s="3" t="s">
        <v>1259</v>
      </c>
      <c r="B1289" s="3" t="s">
        <v>1260</v>
      </c>
      <c r="C1289" s="3" t="n">
        <v>226005</v>
      </c>
      <c r="D1289" s="3" t="s">
        <v>1282</v>
      </c>
      <c r="E1289" s="18" t="n">
        <v>45217</v>
      </c>
      <c r="F1289" s="3" t="s">
        <v>1262</v>
      </c>
      <c r="G1289" s="3" t="s">
        <v>5</v>
      </c>
      <c r="H1289" s="19"/>
      <c r="I1289" s="19"/>
      <c r="J1289" s="20"/>
      <c r="K1289" s="20"/>
      <c r="L1289" s="19"/>
      <c r="M1289" s="19"/>
      <c r="N1289" s="19"/>
      <c r="O1289" s="20"/>
      <c r="P1289" s="20"/>
    </row>
    <row r="1290" customFormat="false" ht="14.25" hidden="false" customHeight="true" outlineLevel="0" collapsed="false">
      <c r="A1290" s="3" t="s">
        <v>1259</v>
      </c>
      <c r="B1290" s="3" t="s">
        <v>1260</v>
      </c>
      <c r="C1290" s="3" t="n">
        <v>226005</v>
      </c>
      <c r="D1290" s="3" t="s">
        <v>1283</v>
      </c>
      <c r="E1290" s="18" t="n">
        <v>45230</v>
      </c>
      <c r="F1290" s="3" t="s">
        <v>1262</v>
      </c>
      <c r="G1290" s="3" t="s">
        <v>5</v>
      </c>
      <c r="H1290" s="19"/>
      <c r="I1290" s="19"/>
      <c r="J1290" s="20"/>
      <c r="K1290" s="20"/>
      <c r="L1290" s="19"/>
      <c r="M1290" s="19"/>
      <c r="N1290" s="19"/>
      <c r="O1290" s="20"/>
      <c r="P1290" s="20"/>
    </row>
    <row r="1291" customFormat="false" ht="14.25" hidden="false" customHeight="true" outlineLevel="0" collapsed="false">
      <c r="A1291" s="3" t="s">
        <v>1259</v>
      </c>
      <c r="B1291" s="3" t="s">
        <v>1260</v>
      </c>
      <c r="C1291" s="3" t="n">
        <v>226005</v>
      </c>
      <c r="D1291" s="3" t="s">
        <v>1284</v>
      </c>
      <c r="E1291" s="18" t="n">
        <v>45244</v>
      </c>
      <c r="F1291" s="3" t="s">
        <v>1262</v>
      </c>
      <c r="G1291" s="3" t="s">
        <v>5</v>
      </c>
      <c r="H1291" s="19"/>
      <c r="I1291" s="19"/>
      <c r="J1291" s="20"/>
      <c r="K1291" s="20"/>
      <c r="L1291" s="19"/>
      <c r="M1291" s="19"/>
      <c r="N1291" s="19"/>
      <c r="O1291" s="20"/>
      <c r="P1291" s="20"/>
    </row>
    <row r="1292" customFormat="false" ht="14.25" hidden="false" customHeight="true" outlineLevel="0" collapsed="false">
      <c r="A1292" s="3" t="s">
        <v>1259</v>
      </c>
      <c r="B1292" s="3" t="s">
        <v>1260</v>
      </c>
      <c r="C1292" s="3" t="n">
        <v>226005</v>
      </c>
      <c r="D1292" s="3" t="s">
        <v>1499</v>
      </c>
      <c r="E1292" s="18" t="n">
        <v>45252</v>
      </c>
      <c r="F1292" s="3" t="s">
        <v>1262</v>
      </c>
      <c r="G1292" s="3" t="s">
        <v>1275</v>
      </c>
      <c r="H1292" s="19"/>
      <c r="I1292" s="19"/>
      <c r="J1292" s="20"/>
      <c r="K1292" s="20"/>
      <c r="L1292" s="19"/>
      <c r="M1292" s="19"/>
      <c r="N1292" s="19"/>
      <c r="O1292" s="20"/>
      <c r="P1292" s="20"/>
    </row>
    <row r="1293" customFormat="false" ht="14.25" hidden="false" customHeight="true" outlineLevel="0" collapsed="false">
      <c r="A1293" s="3" t="s">
        <v>1259</v>
      </c>
      <c r="B1293" s="3" t="s">
        <v>1260</v>
      </c>
      <c r="C1293" s="3" t="n">
        <v>226005</v>
      </c>
      <c r="D1293" s="3" t="s">
        <v>1286</v>
      </c>
      <c r="E1293" s="18" t="n">
        <v>45258</v>
      </c>
      <c r="F1293" s="3" t="s">
        <v>1262</v>
      </c>
      <c r="G1293" s="3" t="s">
        <v>5</v>
      </c>
      <c r="H1293" s="19"/>
      <c r="I1293" s="19"/>
      <c r="J1293" s="20"/>
      <c r="K1293" s="20"/>
      <c r="L1293" s="19"/>
      <c r="M1293" s="19"/>
      <c r="N1293" s="19"/>
      <c r="O1293" s="20"/>
      <c r="P1293" s="20"/>
    </row>
    <row r="1294" customFormat="false" ht="14.25" hidden="false" customHeight="true" outlineLevel="0" collapsed="false">
      <c r="A1294" s="3" t="s">
        <v>1259</v>
      </c>
      <c r="B1294" s="3" t="s">
        <v>1260</v>
      </c>
      <c r="C1294" s="3" t="n">
        <v>226005</v>
      </c>
      <c r="D1294" s="3" t="s">
        <v>1287</v>
      </c>
      <c r="E1294" s="18" t="n">
        <v>45272</v>
      </c>
      <c r="F1294" s="3" t="s">
        <v>1262</v>
      </c>
      <c r="G1294" s="3" t="s">
        <v>5</v>
      </c>
      <c r="H1294" s="19"/>
      <c r="I1294" s="19"/>
      <c r="J1294" s="20"/>
      <c r="K1294" s="20"/>
      <c r="L1294" s="19"/>
      <c r="M1294" s="19"/>
      <c r="N1294" s="19"/>
      <c r="O1294" s="20"/>
      <c r="P1294" s="20"/>
    </row>
    <row r="1295" customFormat="false" ht="14.25" hidden="false" customHeight="true" outlineLevel="0" collapsed="false">
      <c r="A1295" s="3" t="s">
        <v>1259</v>
      </c>
      <c r="B1295" s="3" t="s">
        <v>1260</v>
      </c>
      <c r="C1295" s="3" t="n">
        <v>226005</v>
      </c>
      <c r="D1295" s="3" t="s">
        <v>1288</v>
      </c>
      <c r="E1295" s="18" t="n">
        <v>45286</v>
      </c>
      <c r="F1295" s="3" t="s">
        <v>1262</v>
      </c>
      <c r="G1295" s="3" t="s">
        <v>5</v>
      </c>
      <c r="H1295" s="19"/>
      <c r="I1295" s="19"/>
      <c r="J1295" s="20"/>
      <c r="K1295" s="20"/>
      <c r="L1295" s="19"/>
      <c r="M1295" s="19"/>
      <c r="N1295" s="19"/>
      <c r="O1295" s="20"/>
      <c r="P1295" s="20"/>
    </row>
    <row r="1296" customFormat="false" ht="14.25" hidden="false" customHeight="true" outlineLevel="0" collapsed="false">
      <c r="A1296" s="3" t="s">
        <v>1259</v>
      </c>
      <c r="B1296" s="3" t="s">
        <v>1260</v>
      </c>
      <c r="C1296" s="3" t="n">
        <v>226005</v>
      </c>
      <c r="D1296" s="3" t="s">
        <v>1289</v>
      </c>
      <c r="E1296" s="18" t="n">
        <v>45300</v>
      </c>
      <c r="F1296" s="3" t="s">
        <v>1262</v>
      </c>
      <c r="G1296" s="3" t="s">
        <v>5</v>
      </c>
      <c r="H1296" s="19"/>
      <c r="I1296" s="19"/>
      <c r="J1296" s="20"/>
      <c r="K1296" s="20"/>
      <c r="L1296" s="19"/>
      <c r="M1296" s="19"/>
      <c r="N1296" s="19"/>
      <c r="O1296" s="20"/>
      <c r="P1296" s="20"/>
    </row>
    <row r="1297" customFormat="false" ht="14.25" hidden="false" customHeight="true" outlineLevel="0" collapsed="false">
      <c r="A1297" s="3" t="s">
        <v>1259</v>
      </c>
      <c r="B1297" s="3" t="s">
        <v>1260</v>
      </c>
      <c r="C1297" s="3" t="n">
        <v>226005</v>
      </c>
      <c r="D1297" s="3" t="s">
        <v>1492</v>
      </c>
      <c r="E1297" s="18" t="n">
        <v>45308</v>
      </c>
      <c r="F1297" s="3" t="s">
        <v>1262</v>
      </c>
      <c r="G1297" s="3" t="s">
        <v>1275</v>
      </c>
      <c r="H1297" s="19"/>
      <c r="I1297" s="19"/>
      <c r="J1297" s="20"/>
      <c r="K1297" s="20"/>
      <c r="L1297" s="19"/>
      <c r="M1297" s="19"/>
      <c r="N1297" s="19"/>
      <c r="O1297" s="20"/>
      <c r="P1297" s="20"/>
    </row>
    <row r="1298" customFormat="false" ht="14.25" hidden="false" customHeight="true" outlineLevel="0" collapsed="false">
      <c r="A1298" s="3" t="s">
        <v>1259</v>
      </c>
      <c r="B1298" s="3" t="s">
        <v>1260</v>
      </c>
      <c r="C1298" s="3" t="n">
        <v>226005</v>
      </c>
      <c r="D1298" s="3" t="s">
        <v>1290</v>
      </c>
      <c r="E1298" s="18" t="n">
        <v>45314</v>
      </c>
      <c r="F1298" s="3" t="s">
        <v>1262</v>
      </c>
      <c r="G1298" s="3" t="s">
        <v>5</v>
      </c>
      <c r="H1298" s="19"/>
      <c r="I1298" s="19"/>
      <c r="J1298" s="20"/>
      <c r="K1298" s="20"/>
      <c r="L1298" s="19"/>
      <c r="M1298" s="19"/>
      <c r="N1298" s="19"/>
      <c r="O1298" s="20"/>
      <c r="P1298" s="20"/>
    </row>
    <row r="1299" customFormat="false" ht="14.25" hidden="false" customHeight="true" outlineLevel="0" collapsed="false">
      <c r="A1299" s="3" t="s">
        <v>1259</v>
      </c>
      <c r="B1299" s="3" t="s">
        <v>1260</v>
      </c>
      <c r="C1299" s="3" t="n">
        <v>226005</v>
      </c>
      <c r="D1299" s="3" t="s">
        <v>1292</v>
      </c>
      <c r="E1299" s="18" t="n">
        <v>45328</v>
      </c>
      <c r="F1299" s="3" t="s">
        <v>1262</v>
      </c>
      <c r="G1299" s="3" t="s">
        <v>5</v>
      </c>
      <c r="H1299" s="19"/>
      <c r="I1299" s="19"/>
      <c r="J1299" s="20"/>
      <c r="K1299" s="20"/>
      <c r="L1299" s="19"/>
      <c r="M1299" s="19"/>
      <c r="N1299" s="19"/>
      <c r="O1299" s="20"/>
      <c r="P1299" s="20"/>
    </row>
    <row r="1300" customFormat="false" ht="14.25" hidden="false" customHeight="true" outlineLevel="0" collapsed="false">
      <c r="A1300" s="3" t="s">
        <v>1259</v>
      </c>
      <c r="B1300" s="3" t="s">
        <v>1260</v>
      </c>
      <c r="C1300" s="3" t="n">
        <v>226005</v>
      </c>
      <c r="D1300" s="3" t="s">
        <v>1293</v>
      </c>
      <c r="E1300" s="18" t="n">
        <v>45342</v>
      </c>
      <c r="F1300" s="3" t="s">
        <v>1262</v>
      </c>
      <c r="G1300" s="3" t="s">
        <v>5</v>
      </c>
      <c r="H1300" s="19"/>
      <c r="I1300" s="19"/>
      <c r="J1300" s="20"/>
      <c r="K1300" s="20"/>
      <c r="L1300" s="19"/>
      <c r="M1300" s="19"/>
      <c r="N1300" s="19"/>
      <c r="O1300" s="20"/>
      <c r="P1300" s="20"/>
    </row>
    <row r="1301" customFormat="false" ht="14.25" hidden="false" customHeight="true" outlineLevel="0" collapsed="false">
      <c r="A1301" s="3" t="s">
        <v>1259</v>
      </c>
      <c r="B1301" s="3" t="s">
        <v>1260</v>
      </c>
      <c r="C1301" s="3" t="n">
        <v>226005</v>
      </c>
      <c r="D1301" s="3" t="s">
        <v>1294</v>
      </c>
      <c r="E1301" s="18" t="n">
        <v>45356</v>
      </c>
      <c r="F1301" s="3" t="s">
        <v>1262</v>
      </c>
      <c r="G1301" s="3" t="s">
        <v>5</v>
      </c>
      <c r="H1301" s="19"/>
      <c r="I1301" s="19"/>
      <c r="J1301" s="20"/>
      <c r="K1301" s="20"/>
      <c r="L1301" s="19"/>
      <c r="M1301" s="19"/>
      <c r="N1301" s="19"/>
      <c r="O1301" s="20"/>
      <c r="P1301" s="20"/>
    </row>
    <row r="1302" customFormat="false" ht="14.25" hidden="false" customHeight="true" outlineLevel="0" collapsed="false">
      <c r="A1302" s="3" t="s">
        <v>1259</v>
      </c>
      <c r="B1302" s="3" t="s">
        <v>1260</v>
      </c>
      <c r="C1302" s="3" t="n">
        <v>226005</v>
      </c>
      <c r="D1302" s="3" t="s">
        <v>1430</v>
      </c>
      <c r="E1302" s="18" t="n">
        <v>45363</v>
      </c>
      <c r="F1302" s="3" t="s">
        <v>1262</v>
      </c>
      <c r="G1302" s="3" t="s">
        <v>1275</v>
      </c>
      <c r="H1302" s="19"/>
      <c r="I1302" s="19"/>
      <c r="J1302" s="20"/>
      <c r="K1302" s="20"/>
      <c r="L1302" s="19"/>
      <c r="M1302" s="19"/>
      <c r="N1302" s="19"/>
      <c r="O1302" s="20"/>
      <c r="P1302" s="20"/>
    </row>
    <row r="1303" customFormat="false" ht="14.25" hidden="false" customHeight="true" outlineLevel="0" collapsed="false">
      <c r="A1303" s="3" t="s">
        <v>1259</v>
      </c>
      <c r="B1303" s="3" t="s">
        <v>1260</v>
      </c>
      <c r="C1303" s="3" t="n">
        <v>226005</v>
      </c>
      <c r="D1303" s="3" t="s">
        <v>1295</v>
      </c>
      <c r="E1303" s="18" t="n">
        <v>45370</v>
      </c>
      <c r="F1303" s="3" t="s">
        <v>1262</v>
      </c>
      <c r="G1303" s="3" t="s">
        <v>5</v>
      </c>
      <c r="H1303" s="19"/>
      <c r="I1303" s="19"/>
      <c r="J1303" s="20"/>
      <c r="K1303" s="20"/>
      <c r="L1303" s="19"/>
      <c r="M1303" s="19"/>
      <c r="N1303" s="19"/>
      <c r="O1303" s="20"/>
      <c r="P1303" s="20"/>
    </row>
    <row r="1304" customFormat="false" ht="14.25" hidden="false" customHeight="true" outlineLevel="0" collapsed="false">
      <c r="A1304" s="3" t="s">
        <v>1259</v>
      </c>
      <c r="B1304" s="3" t="s">
        <v>1260</v>
      </c>
      <c r="C1304" s="3" t="n">
        <v>226005</v>
      </c>
      <c r="D1304" s="3" t="s">
        <v>1297</v>
      </c>
      <c r="E1304" s="18" t="n">
        <v>45384</v>
      </c>
      <c r="F1304" s="3" t="s">
        <v>1262</v>
      </c>
      <c r="G1304" s="3" t="s">
        <v>5</v>
      </c>
      <c r="H1304" s="19"/>
      <c r="I1304" s="19"/>
      <c r="J1304" s="20"/>
      <c r="K1304" s="20"/>
      <c r="L1304" s="19"/>
      <c r="M1304" s="19"/>
      <c r="N1304" s="19"/>
      <c r="O1304" s="20"/>
      <c r="P1304" s="20"/>
    </row>
    <row r="1305" customFormat="false" ht="14.25" hidden="false" customHeight="true" outlineLevel="0" collapsed="false">
      <c r="A1305" s="3" t="s">
        <v>1259</v>
      </c>
      <c r="B1305" s="3" t="s">
        <v>1260</v>
      </c>
      <c r="C1305" s="3" t="n">
        <v>226005</v>
      </c>
      <c r="D1305" s="3" t="s">
        <v>1298</v>
      </c>
      <c r="E1305" s="18" t="n">
        <v>45398</v>
      </c>
      <c r="F1305" s="3" t="s">
        <v>1262</v>
      </c>
      <c r="G1305" s="3" t="s">
        <v>5</v>
      </c>
      <c r="H1305" s="19"/>
      <c r="I1305" s="19"/>
      <c r="J1305" s="20"/>
      <c r="K1305" s="20"/>
      <c r="L1305" s="19"/>
      <c r="M1305" s="19"/>
      <c r="N1305" s="19"/>
      <c r="O1305" s="20"/>
      <c r="P1305" s="20"/>
    </row>
    <row r="1306" customFormat="false" ht="14.25" hidden="false" customHeight="true" outlineLevel="0" collapsed="false">
      <c r="A1306" s="3" t="s">
        <v>1259</v>
      </c>
      <c r="B1306" s="3" t="s">
        <v>1260</v>
      </c>
      <c r="C1306" s="3" t="n">
        <v>226005</v>
      </c>
      <c r="D1306" s="3" t="s">
        <v>1299</v>
      </c>
      <c r="E1306" s="18" t="n">
        <v>45412</v>
      </c>
      <c r="F1306" s="3" t="s">
        <v>1262</v>
      </c>
      <c r="G1306" s="3" t="s">
        <v>5</v>
      </c>
      <c r="H1306" s="19"/>
      <c r="I1306" s="19"/>
      <c r="J1306" s="20"/>
      <c r="K1306" s="20"/>
      <c r="L1306" s="19"/>
      <c r="M1306" s="19"/>
      <c r="N1306" s="19"/>
      <c r="O1306" s="20"/>
      <c r="P1306" s="20"/>
    </row>
    <row r="1307" customFormat="false" ht="14.25" hidden="false" customHeight="true" outlineLevel="0" collapsed="false">
      <c r="A1307" s="3" t="s">
        <v>1259</v>
      </c>
      <c r="B1307" s="3" t="s">
        <v>1260</v>
      </c>
      <c r="C1307" s="3" t="n">
        <v>226005</v>
      </c>
      <c r="D1307" s="3" t="s">
        <v>1300</v>
      </c>
      <c r="E1307" s="18" t="n">
        <v>45426</v>
      </c>
      <c r="F1307" s="3" t="s">
        <v>1262</v>
      </c>
      <c r="G1307" s="3" t="s">
        <v>5</v>
      </c>
      <c r="H1307" s="19"/>
      <c r="I1307" s="19"/>
      <c r="J1307" s="20"/>
      <c r="K1307" s="20"/>
      <c r="L1307" s="19"/>
      <c r="M1307" s="19"/>
      <c r="N1307" s="19"/>
      <c r="O1307" s="20"/>
      <c r="P1307" s="20"/>
    </row>
    <row r="1308" customFormat="false" ht="14.25" hidden="false" customHeight="true" outlineLevel="0" collapsed="false">
      <c r="A1308" s="3" t="s">
        <v>1259</v>
      </c>
      <c r="B1308" s="3" t="s">
        <v>1260</v>
      </c>
      <c r="C1308" s="3" t="n">
        <v>226005</v>
      </c>
      <c r="D1308" s="3" t="s">
        <v>1311</v>
      </c>
      <c r="E1308" s="18" t="n">
        <v>45426</v>
      </c>
      <c r="F1308" s="3" t="s">
        <v>1262</v>
      </c>
      <c r="G1308" s="3" t="s">
        <v>1275</v>
      </c>
      <c r="H1308" s="19"/>
      <c r="I1308" s="19"/>
      <c r="J1308" s="20"/>
      <c r="K1308" s="20"/>
      <c r="L1308" s="19"/>
      <c r="M1308" s="19"/>
      <c r="N1308" s="19"/>
      <c r="O1308" s="20"/>
      <c r="P1308" s="20"/>
    </row>
    <row r="1309" customFormat="false" ht="14.25" hidden="false" customHeight="true" outlineLevel="0" collapsed="false">
      <c r="A1309" s="3" t="s">
        <v>1259</v>
      </c>
      <c r="B1309" s="3" t="s">
        <v>1260</v>
      </c>
      <c r="C1309" s="3" t="n">
        <v>226005</v>
      </c>
      <c r="D1309" s="3" t="s">
        <v>1489</v>
      </c>
      <c r="F1309" s="3" t="s">
        <v>1262</v>
      </c>
      <c r="G1309" s="3" t="s">
        <v>5</v>
      </c>
      <c r="H1309" s="19"/>
      <c r="I1309" s="19"/>
      <c r="J1309" s="20"/>
      <c r="K1309" s="20"/>
      <c r="L1309" s="19"/>
      <c r="M1309" s="19"/>
      <c r="N1309" s="19"/>
      <c r="O1309" s="20"/>
      <c r="P1309" s="20"/>
    </row>
    <row r="1310" customFormat="false" ht="14.25" hidden="false" customHeight="true" outlineLevel="0" collapsed="false">
      <c r="A1310" s="3" t="s">
        <v>1259</v>
      </c>
      <c r="B1310" s="3" t="s">
        <v>1260</v>
      </c>
      <c r="C1310" s="3" t="n">
        <v>226006</v>
      </c>
      <c r="D1310" s="3" t="s">
        <v>1261</v>
      </c>
      <c r="E1310" s="18" t="n">
        <v>45071</v>
      </c>
      <c r="F1310" s="3" t="s">
        <v>1262</v>
      </c>
      <c r="G1310" s="3" t="s">
        <v>5</v>
      </c>
      <c r="H1310" s="19" t="n">
        <v>45071</v>
      </c>
      <c r="I1310" s="19" t="n">
        <v>44957</v>
      </c>
      <c r="J1310" s="20" t="n">
        <v>71</v>
      </c>
      <c r="K1310" s="20" t="s">
        <v>1263</v>
      </c>
      <c r="L1310" s="19" t="s">
        <v>12</v>
      </c>
      <c r="M1310" s="19"/>
      <c r="N1310" s="19"/>
      <c r="O1310" s="20"/>
      <c r="P1310" s="20"/>
    </row>
    <row r="1311" customFormat="false" ht="14.25" hidden="false" customHeight="true" outlineLevel="0" collapsed="false">
      <c r="A1311" s="3" t="s">
        <v>1259</v>
      </c>
      <c r="B1311" s="3" t="s">
        <v>1260</v>
      </c>
      <c r="C1311" s="3" t="n">
        <v>226006</v>
      </c>
      <c r="D1311" s="3" t="s">
        <v>1264</v>
      </c>
      <c r="E1311" s="18" t="n">
        <v>45091</v>
      </c>
      <c r="F1311" s="3" t="s">
        <v>1262</v>
      </c>
      <c r="G1311" s="3" t="s">
        <v>5</v>
      </c>
      <c r="H1311" s="19"/>
      <c r="I1311" s="19"/>
      <c r="J1311" s="20"/>
      <c r="K1311" s="20"/>
      <c r="L1311" s="19"/>
      <c r="M1311" s="19"/>
      <c r="N1311" s="19"/>
      <c r="O1311" s="20"/>
      <c r="P1311" s="20"/>
    </row>
    <row r="1312" customFormat="false" ht="14.25" hidden="false" customHeight="true" outlineLevel="0" collapsed="false">
      <c r="A1312" s="3" t="s">
        <v>1259</v>
      </c>
      <c r="B1312" s="3" t="s">
        <v>1260</v>
      </c>
      <c r="C1312" s="3" t="n">
        <v>226006</v>
      </c>
      <c r="D1312" s="3" t="s">
        <v>1265</v>
      </c>
      <c r="E1312" s="18" t="n">
        <v>45093</v>
      </c>
      <c r="F1312" s="3" t="s">
        <v>1262</v>
      </c>
      <c r="G1312" s="3" t="s">
        <v>5</v>
      </c>
      <c r="H1312" s="19"/>
      <c r="I1312" s="19"/>
      <c r="J1312" s="20"/>
      <c r="K1312" s="20"/>
      <c r="L1312" s="19"/>
      <c r="M1312" s="19"/>
      <c r="N1312" s="19"/>
      <c r="O1312" s="20"/>
      <c r="P1312" s="20"/>
    </row>
    <row r="1313" customFormat="false" ht="14.25" hidden="false" customHeight="true" outlineLevel="0" collapsed="false">
      <c r="A1313" s="3" t="s">
        <v>1259</v>
      </c>
      <c r="B1313" s="3" t="s">
        <v>1260</v>
      </c>
      <c r="C1313" s="3" t="n">
        <v>226006</v>
      </c>
      <c r="D1313" s="3" t="s">
        <v>1266</v>
      </c>
      <c r="E1313" s="18" t="n">
        <v>45098</v>
      </c>
      <c r="F1313" s="3" t="s">
        <v>1262</v>
      </c>
      <c r="G1313" s="3" t="s">
        <v>5</v>
      </c>
      <c r="H1313" s="19"/>
      <c r="I1313" s="19"/>
      <c r="J1313" s="20"/>
      <c r="K1313" s="20"/>
      <c r="L1313" s="19"/>
      <c r="M1313" s="19"/>
      <c r="N1313" s="19"/>
      <c r="O1313" s="20"/>
      <c r="P1313" s="20"/>
    </row>
    <row r="1314" customFormat="false" ht="14.25" hidden="false" customHeight="true" outlineLevel="0" collapsed="false">
      <c r="A1314" s="3" t="s">
        <v>1259</v>
      </c>
      <c r="B1314" s="3" t="s">
        <v>1260</v>
      </c>
      <c r="C1314" s="3" t="n">
        <v>226006</v>
      </c>
      <c r="D1314" s="3" t="s">
        <v>1269</v>
      </c>
      <c r="E1314" s="18" t="n">
        <v>45105</v>
      </c>
      <c r="F1314" s="3" t="s">
        <v>1262</v>
      </c>
      <c r="G1314" s="3" t="s">
        <v>5</v>
      </c>
      <c r="H1314" s="19"/>
      <c r="I1314" s="19"/>
      <c r="J1314" s="20"/>
      <c r="K1314" s="20"/>
      <c r="L1314" s="19"/>
      <c r="M1314" s="19"/>
      <c r="N1314" s="19"/>
      <c r="O1314" s="20"/>
      <c r="P1314" s="20"/>
    </row>
    <row r="1315" customFormat="false" ht="14.25" hidden="false" customHeight="true" outlineLevel="0" collapsed="false">
      <c r="A1315" s="3" t="s">
        <v>1259</v>
      </c>
      <c r="B1315" s="3" t="s">
        <v>1260</v>
      </c>
      <c r="C1315" s="3" t="n">
        <v>226006</v>
      </c>
      <c r="D1315" s="3" t="s">
        <v>1270</v>
      </c>
      <c r="E1315" s="18" t="n">
        <v>45112</v>
      </c>
      <c r="F1315" s="3" t="s">
        <v>1262</v>
      </c>
      <c r="G1315" s="3" t="s">
        <v>5</v>
      </c>
      <c r="H1315" s="19"/>
      <c r="I1315" s="19"/>
      <c r="J1315" s="20"/>
      <c r="K1315" s="20"/>
      <c r="L1315" s="19"/>
      <c r="M1315" s="19"/>
      <c r="N1315" s="19"/>
      <c r="O1315" s="20"/>
      <c r="P1315" s="20"/>
    </row>
    <row r="1316" customFormat="false" ht="14.25" hidden="false" customHeight="true" outlineLevel="0" collapsed="false">
      <c r="A1316" s="3" t="s">
        <v>1259</v>
      </c>
      <c r="B1316" s="3" t="s">
        <v>1260</v>
      </c>
      <c r="C1316" s="3" t="n">
        <v>226006</v>
      </c>
      <c r="D1316" s="3" t="s">
        <v>1271</v>
      </c>
      <c r="E1316" s="18" t="n">
        <v>45119</v>
      </c>
      <c r="F1316" s="3" t="s">
        <v>1262</v>
      </c>
      <c r="G1316" s="3" t="s">
        <v>5</v>
      </c>
      <c r="H1316" s="19"/>
      <c r="I1316" s="19"/>
      <c r="J1316" s="20"/>
      <c r="K1316" s="20"/>
      <c r="L1316" s="19"/>
      <c r="M1316" s="19"/>
      <c r="N1316" s="19"/>
      <c r="O1316" s="20"/>
      <c r="P1316" s="20"/>
    </row>
    <row r="1317" customFormat="false" ht="14.25" hidden="false" customHeight="true" outlineLevel="0" collapsed="false">
      <c r="A1317" s="3" t="s">
        <v>1259</v>
      </c>
      <c r="B1317" s="3" t="s">
        <v>1260</v>
      </c>
      <c r="C1317" s="3" t="n">
        <v>226006</v>
      </c>
      <c r="D1317" s="3" t="s">
        <v>1272</v>
      </c>
      <c r="E1317" s="18" t="n">
        <v>45121</v>
      </c>
      <c r="F1317" s="3" t="s">
        <v>1262</v>
      </c>
      <c r="G1317" s="3" t="s">
        <v>5</v>
      </c>
      <c r="H1317" s="19"/>
      <c r="I1317" s="19"/>
      <c r="J1317" s="20"/>
      <c r="K1317" s="20"/>
      <c r="L1317" s="19"/>
      <c r="M1317" s="19"/>
      <c r="N1317" s="19"/>
      <c r="O1317" s="20"/>
      <c r="P1317" s="20"/>
    </row>
    <row r="1318" customFormat="false" ht="14.25" hidden="false" customHeight="true" outlineLevel="0" collapsed="false">
      <c r="A1318" s="3" t="s">
        <v>1259</v>
      </c>
      <c r="B1318" s="3" t="s">
        <v>1260</v>
      </c>
      <c r="C1318" s="3" t="n">
        <v>226006</v>
      </c>
      <c r="D1318" s="3" t="s">
        <v>1273</v>
      </c>
      <c r="E1318" s="18" t="n">
        <v>45133</v>
      </c>
      <c r="F1318" s="3" t="s">
        <v>1262</v>
      </c>
      <c r="G1318" s="3" t="s">
        <v>5</v>
      </c>
      <c r="H1318" s="19"/>
      <c r="I1318" s="19"/>
      <c r="J1318" s="20"/>
      <c r="K1318" s="20"/>
      <c r="L1318" s="19"/>
      <c r="M1318" s="19"/>
      <c r="N1318" s="19"/>
      <c r="O1318" s="20"/>
      <c r="P1318" s="20"/>
    </row>
    <row r="1319" customFormat="false" ht="14.25" hidden="false" customHeight="true" outlineLevel="0" collapsed="false">
      <c r="A1319" s="3" t="s">
        <v>1259</v>
      </c>
      <c r="B1319" s="3" t="s">
        <v>1260</v>
      </c>
      <c r="C1319" s="3" t="n">
        <v>226006</v>
      </c>
      <c r="D1319" s="3" t="s">
        <v>1276</v>
      </c>
      <c r="E1319" s="18" t="n">
        <v>45147</v>
      </c>
      <c r="F1319" s="3" t="s">
        <v>1262</v>
      </c>
      <c r="G1319" s="3" t="s">
        <v>5</v>
      </c>
      <c r="H1319" s="19"/>
      <c r="I1319" s="19"/>
      <c r="J1319" s="20"/>
      <c r="K1319" s="20"/>
      <c r="L1319" s="19"/>
      <c r="M1319" s="19"/>
      <c r="N1319" s="19"/>
      <c r="O1319" s="20"/>
      <c r="P1319" s="20"/>
    </row>
    <row r="1320" customFormat="false" ht="14.25" hidden="false" customHeight="true" outlineLevel="0" collapsed="false">
      <c r="A1320" s="3" t="s">
        <v>1259</v>
      </c>
      <c r="B1320" s="3" t="s">
        <v>1260</v>
      </c>
      <c r="C1320" s="3" t="n">
        <v>226006</v>
      </c>
      <c r="D1320" s="3" t="s">
        <v>1500</v>
      </c>
      <c r="E1320" s="18" t="n">
        <v>45147</v>
      </c>
      <c r="F1320" s="3" t="s">
        <v>1262</v>
      </c>
      <c r="G1320" s="3" t="s">
        <v>1275</v>
      </c>
      <c r="H1320" s="19"/>
      <c r="I1320" s="19"/>
      <c r="J1320" s="20"/>
      <c r="K1320" s="20"/>
      <c r="L1320" s="19"/>
      <c r="M1320" s="19"/>
      <c r="N1320" s="19"/>
      <c r="O1320" s="20"/>
      <c r="P1320" s="20"/>
    </row>
    <row r="1321" customFormat="false" ht="14.25" hidden="false" customHeight="true" outlineLevel="0" collapsed="false">
      <c r="A1321" s="3" t="s">
        <v>1259</v>
      </c>
      <c r="B1321" s="3" t="s">
        <v>1260</v>
      </c>
      <c r="C1321" s="3" t="n">
        <v>226006</v>
      </c>
      <c r="D1321" s="3" t="s">
        <v>1277</v>
      </c>
      <c r="E1321" s="18" t="n">
        <v>45161</v>
      </c>
      <c r="F1321" s="3" t="s">
        <v>1262</v>
      </c>
      <c r="G1321" s="3" t="s">
        <v>5</v>
      </c>
      <c r="H1321" s="19"/>
      <c r="I1321" s="19"/>
      <c r="J1321" s="20"/>
      <c r="K1321" s="20"/>
      <c r="L1321" s="19"/>
      <c r="M1321" s="19"/>
      <c r="N1321" s="19"/>
      <c r="O1321" s="20"/>
      <c r="P1321" s="20"/>
    </row>
    <row r="1322" customFormat="false" ht="14.25" hidden="false" customHeight="true" outlineLevel="0" collapsed="false">
      <c r="A1322" s="3" t="s">
        <v>1259</v>
      </c>
      <c r="B1322" s="3" t="s">
        <v>1260</v>
      </c>
      <c r="C1322" s="3" t="n">
        <v>226006</v>
      </c>
      <c r="D1322" s="3" t="s">
        <v>1278</v>
      </c>
      <c r="E1322" s="18" t="n">
        <v>45173</v>
      </c>
      <c r="F1322" s="3" t="s">
        <v>1262</v>
      </c>
      <c r="G1322" s="3" t="s">
        <v>5</v>
      </c>
      <c r="H1322" s="19"/>
      <c r="I1322" s="19"/>
      <c r="J1322" s="20"/>
      <c r="K1322" s="20"/>
      <c r="L1322" s="19"/>
      <c r="M1322" s="19"/>
      <c r="N1322" s="19"/>
      <c r="O1322" s="20"/>
      <c r="P1322" s="20"/>
    </row>
    <row r="1323" customFormat="false" ht="14.25" hidden="false" customHeight="true" outlineLevel="0" collapsed="false">
      <c r="A1323" s="3" t="s">
        <v>1259</v>
      </c>
      <c r="B1323" s="3" t="s">
        <v>1260</v>
      </c>
      <c r="C1323" s="3" t="n">
        <v>226006</v>
      </c>
      <c r="D1323" s="3" t="s">
        <v>1488</v>
      </c>
      <c r="E1323" s="18" t="n">
        <v>45175</v>
      </c>
      <c r="F1323" s="3" t="s">
        <v>1262</v>
      </c>
      <c r="G1323" s="3" t="s">
        <v>5</v>
      </c>
      <c r="H1323" s="19"/>
      <c r="I1323" s="19"/>
      <c r="J1323" s="20"/>
      <c r="K1323" s="20"/>
      <c r="L1323" s="19"/>
      <c r="M1323" s="19"/>
      <c r="N1323" s="19"/>
      <c r="O1323" s="20"/>
      <c r="P1323" s="20"/>
    </row>
    <row r="1324" customFormat="false" ht="14.25" hidden="false" customHeight="true" outlineLevel="0" collapsed="false">
      <c r="A1324" s="3" t="s">
        <v>1259</v>
      </c>
      <c r="B1324" s="3" t="s">
        <v>1260</v>
      </c>
      <c r="C1324" s="3" t="n">
        <v>226006</v>
      </c>
      <c r="D1324" s="3" t="s">
        <v>1489</v>
      </c>
      <c r="E1324" s="18" t="n">
        <v>45177</v>
      </c>
      <c r="F1324" s="3" t="s">
        <v>1262</v>
      </c>
      <c r="G1324" s="3" t="s">
        <v>5</v>
      </c>
      <c r="H1324" s="19"/>
      <c r="I1324" s="19"/>
      <c r="J1324" s="20"/>
      <c r="K1324" s="20"/>
      <c r="L1324" s="19"/>
      <c r="M1324" s="19"/>
      <c r="N1324" s="19"/>
      <c r="O1324" s="20"/>
      <c r="P1324" s="20"/>
    </row>
    <row r="1325" customFormat="false" ht="14.25" hidden="false" customHeight="true" outlineLevel="0" collapsed="false">
      <c r="A1325" s="3" t="s">
        <v>1259</v>
      </c>
      <c r="B1325" s="3" t="s">
        <v>1260</v>
      </c>
      <c r="C1325" s="3" t="n">
        <v>226006</v>
      </c>
      <c r="D1325" s="3" t="s">
        <v>1490</v>
      </c>
      <c r="E1325" s="18" t="n">
        <v>45180</v>
      </c>
      <c r="F1325" s="3" t="s">
        <v>1262</v>
      </c>
      <c r="G1325" s="3" t="s">
        <v>5</v>
      </c>
      <c r="H1325" s="19"/>
      <c r="I1325" s="19"/>
      <c r="J1325" s="20"/>
      <c r="K1325" s="20"/>
      <c r="L1325" s="19"/>
      <c r="M1325" s="19"/>
      <c r="N1325" s="19"/>
      <c r="O1325" s="20"/>
      <c r="P1325" s="20"/>
    </row>
    <row r="1326" customFormat="false" ht="14.25" hidden="false" customHeight="true" outlineLevel="0" collapsed="false">
      <c r="A1326" s="3" t="s">
        <v>1259</v>
      </c>
      <c r="B1326" s="3" t="s">
        <v>1260</v>
      </c>
      <c r="C1326" s="3" t="n">
        <v>226006</v>
      </c>
      <c r="D1326" s="3" t="s">
        <v>1279</v>
      </c>
      <c r="E1326" s="18" t="n">
        <v>45189</v>
      </c>
      <c r="F1326" s="3" t="s">
        <v>1262</v>
      </c>
      <c r="G1326" s="3" t="s">
        <v>5</v>
      </c>
      <c r="H1326" s="19"/>
      <c r="I1326" s="19"/>
      <c r="J1326" s="20"/>
      <c r="K1326" s="20"/>
      <c r="L1326" s="19"/>
      <c r="M1326" s="19"/>
      <c r="N1326" s="19"/>
      <c r="O1326" s="20"/>
      <c r="P1326" s="20"/>
    </row>
    <row r="1327" customFormat="false" ht="14.25" hidden="false" customHeight="true" outlineLevel="0" collapsed="false">
      <c r="A1327" s="3" t="s">
        <v>1259</v>
      </c>
      <c r="B1327" s="3" t="s">
        <v>1260</v>
      </c>
      <c r="C1327" s="3" t="n">
        <v>226006</v>
      </c>
      <c r="D1327" s="3" t="s">
        <v>1281</v>
      </c>
      <c r="E1327" s="18" t="n">
        <v>45203</v>
      </c>
      <c r="F1327" s="3" t="s">
        <v>1262</v>
      </c>
      <c r="G1327" s="3" t="s">
        <v>5</v>
      </c>
      <c r="H1327" s="19"/>
      <c r="I1327" s="19"/>
      <c r="J1327" s="20"/>
      <c r="K1327" s="20"/>
      <c r="L1327" s="19"/>
      <c r="M1327" s="19"/>
      <c r="N1327" s="19"/>
      <c r="O1327" s="20"/>
      <c r="P1327" s="20"/>
    </row>
    <row r="1328" customFormat="false" ht="14.25" hidden="false" customHeight="true" outlineLevel="0" collapsed="false">
      <c r="A1328" s="3" t="s">
        <v>1259</v>
      </c>
      <c r="B1328" s="3" t="s">
        <v>1260</v>
      </c>
      <c r="C1328" s="3" t="n">
        <v>226006</v>
      </c>
      <c r="D1328" s="3" t="s">
        <v>1291</v>
      </c>
      <c r="E1328" s="18" t="n">
        <v>45203</v>
      </c>
      <c r="F1328" s="3" t="s">
        <v>1262</v>
      </c>
      <c r="G1328" s="3" t="s">
        <v>1275</v>
      </c>
      <c r="H1328" s="19"/>
      <c r="I1328" s="19"/>
      <c r="J1328" s="20"/>
      <c r="K1328" s="20"/>
      <c r="L1328" s="19"/>
      <c r="M1328" s="19"/>
      <c r="N1328" s="19"/>
      <c r="O1328" s="20"/>
      <c r="P1328" s="20"/>
    </row>
    <row r="1329" customFormat="false" ht="14.25" hidden="false" customHeight="true" outlineLevel="0" collapsed="false">
      <c r="A1329" s="3" t="s">
        <v>1259</v>
      </c>
      <c r="B1329" s="3" t="s">
        <v>1260</v>
      </c>
      <c r="C1329" s="3" t="n">
        <v>226006</v>
      </c>
      <c r="D1329" s="3" t="s">
        <v>1282</v>
      </c>
      <c r="E1329" s="18" t="n">
        <v>45217</v>
      </c>
      <c r="F1329" s="3" t="s">
        <v>1262</v>
      </c>
      <c r="G1329" s="3" t="s">
        <v>5</v>
      </c>
      <c r="H1329" s="19"/>
      <c r="I1329" s="19"/>
      <c r="J1329" s="20"/>
      <c r="K1329" s="20"/>
      <c r="L1329" s="19"/>
      <c r="M1329" s="19"/>
      <c r="N1329" s="19"/>
      <c r="O1329" s="20"/>
      <c r="P1329" s="20"/>
    </row>
    <row r="1330" customFormat="false" ht="14.25" hidden="false" customHeight="true" outlineLevel="0" collapsed="false">
      <c r="A1330" s="3" t="s">
        <v>1259</v>
      </c>
      <c r="B1330" s="3" t="s">
        <v>1260</v>
      </c>
      <c r="C1330" s="3" t="n">
        <v>226006</v>
      </c>
      <c r="D1330" s="3" t="s">
        <v>1283</v>
      </c>
      <c r="E1330" s="18" t="n">
        <v>45231</v>
      </c>
      <c r="F1330" s="3" t="s">
        <v>1262</v>
      </c>
      <c r="G1330" s="3" t="s">
        <v>5</v>
      </c>
      <c r="H1330" s="19"/>
      <c r="I1330" s="19"/>
      <c r="J1330" s="20"/>
      <c r="K1330" s="20"/>
      <c r="L1330" s="19"/>
      <c r="M1330" s="19"/>
      <c r="N1330" s="19"/>
      <c r="O1330" s="20"/>
      <c r="P1330" s="20"/>
    </row>
    <row r="1331" customFormat="false" ht="14.25" hidden="false" customHeight="true" outlineLevel="0" collapsed="false">
      <c r="A1331" s="3" t="s">
        <v>1259</v>
      </c>
      <c r="B1331" s="3" t="s">
        <v>1260</v>
      </c>
      <c r="C1331" s="3" t="n">
        <v>226006</v>
      </c>
      <c r="D1331" s="3" t="s">
        <v>1284</v>
      </c>
      <c r="E1331" s="18" t="n">
        <v>45245</v>
      </c>
      <c r="F1331" s="3" t="s">
        <v>1262</v>
      </c>
      <c r="G1331" s="3" t="s">
        <v>5</v>
      </c>
      <c r="H1331" s="19"/>
      <c r="I1331" s="19"/>
      <c r="J1331" s="20"/>
      <c r="K1331" s="20"/>
      <c r="L1331" s="19"/>
      <c r="M1331" s="19"/>
      <c r="N1331" s="19"/>
      <c r="O1331" s="20"/>
      <c r="P1331" s="20"/>
    </row>
    <row r="1332" customFormat="false" ht="14.25" hidden="false" customHeight="true" outlineLevel="0" collapsed="false">
      <c r="A1332" s="3" t="s">
        <v>1259</v>
      </c>
      <c r="B1332" s="3" t="s">
        <v>1260</v>
      </c>
      <c r="C1332" s="3" t="n">
        <v>226006</v>
      </c>
      <c r="D1332" s="3" t="s">
        <v>1286</v>
      </c>
      <c r="E1332" s="18" t="n">
        <v>45259</v>
      </c>
      <c r="F1332" s="3" t="s">
        <v>1262</v>
      </c>
      <c r="G1332" s="3" t="s">
        <v>5</v>
      </c>
      <c r="H1332" s="19"/>
      <c r="I1332" s="19"/>
      <c r="J1332" s="20"/>
      <c r="K1332" s="20"/>
      <c r="L1332" s="19"/>
      <c r="M1332" s="19"/>
      <c r="N1332" s="19"/>
      <c r="O1332" s="20"/>
      <c r="P1332" s="20"/>
    </row>
    <row r="1333" customFormat="false" ht="14.25" hidden="false" customHeight="true" outlineLevel="0" collapsed="false">
      <c r="A1333" s="3" t="s">
        <v>1259</v>
      </c>
      <c r="B1333" s="3" t="s">
        <v>1260</v>
      </c>
      <c r="C1333" s="3" t="n">
        <v>226006</v>
      </c>
      <c r="D1333" s="3" t="s">
        <v>1390</v>
      </c>
      <c r="E1333" s="18" t="n">
        <v>45259</v>
      </c>
      <c r="F1333" s="3" t="s">
        <v>1262</v>
      </c>
      <c r="G1333" s="3" t="s">
        <v>1275</v>
      </c>
      <c r="H1333" s="19"/>
      <c r="I1333" s="19"/>
      <c r="J1333" s="20"/>
      <c r="K1333" s="20"/>
      <c r="L1333" s="19"/>
      <c r="M1333" s="19"/>
      <c r="N1333" s="19"/>
      <c r="O1333" s="20"/>
      <c r="P1333" s="20"/>
    </row>
    <row r="1334" customFormat="false" ht="14.25" hidden="false" customHeight="true" outlineLevel="0" collapsed="false">
      <c r="A1334" s="3" t="s">
        <v>1259</v>
      </c>
      <c r="B1334" s="3" t="s">
        <v>1260</v>
      </c>
      <c r="C1334" s="3" t="n">
        <v>226006</v>
      </c>
      <c r="D1334" s="3" t="s">
        <v>1287</v>
      </c>
      <c r="E1334" s="18" t="n">
        <v>45273</v>
      </c>
      <c r="F1334" s="3" t="s">
        <v>1262</v>
      </c>
      <c r="G1334" s="3" t="s">
        <v>5</v>
      </c>
      <c r="H1334" s="19"/>
      <c r="I1334" s="19"/>
      <c r="J1334" s="20"/>
      <c r="K1334" s="20"/>
      <c r="L1334" s="19"/>
      <c r="M1334" s="19"/>
      <c r="N1334" s="19"/>
      <c r="O1334" s="20"/>
      <c r="P1334" s="20"/>
    </row>
    <row r="1335" customFormat="false" ht="14.25" hidden="false" customHeight="true" outlineLevel="0" collapsed="false">
      <c r="A1335" s="3" t="s">
        <v>1259</v>
      </c>
      <c r="B1335" s="3" t="s">
        <v>1260</v>
      </c>
      <c r="C1335" s="3" t="n">
        <v>226006</v>
      </c>
      <c r="D1335" s="3" t="s">
        <v>1288</v>
      </c>
      <c r="E1335" s="18" t="n">
        <v>45286</v>
      </c>
      <c r="F1335" s="3" t="s">
        <v>1262</v>
      </c>
      <c r="G1335" s="3" t="s">
        <v>5</v>
      </c>
      <c r="H1335" s="19"/>
      <c r="I1335" s="19"/>
      <c r="J1335" s="20"/>
      <c r="K1335" s="20"/>
      <c r="L1335" s="19"/>
      <c r="M1335" s="19"/>
      <c r="N1335" s="19"/>
      <c r="O1335" s="20"/>
      <c r="P1335" s="20"/>
    </row>
    <row r="1336" customFormat="false" ht="14.25" hidden="false" customHeight="true" outlineLevel="0" collapsed="false">
      <c r="A1336" s="3" t="s">
        <v>1259</v>
      </c>
      <c r="B1336" s="3" t="s">
        <v>1260</v>
      </c>
      <c r="C1336" s="3" t="n">
        <v>226006</v>
      </c>
      <c r="D1336" s="3" t="s">
        <v>1289</v>
      </c>
      <c r="E1336" s="18" t="n">
        <v>45301</v>
      </c>
      <c r="F1336" s="3" t="s">
        <v>1262</v>
      </c>
      <c r="G1336" s="3" t="s">
        <v>5</v>
      </c>
      <c r="H1336" s="19"/>
      <c r="I1336" s="19"/>
      <c r="J1336" s="20"/>
      <c r="K1336" s="20"/>
      <c r="L1336" s="19"/>
      <c r="M1336" s="19"/>
      <c r="N1336" s="19"/>
      <c r="O1336" s="20"/>
      <c r="P1336" s="20"/>
    </row>
    <row r="1337" customFormat="false" ht="14.25" hidden="false" customHeight="true" outlineLevel="0" collapsed="false">
      <c r="A1337" s="3" t="s">
        <v>1259</v>
      </c>
      <c r="B1337" s="3" t="s">
        <v>1260</v>
      </c>
      <c r="C1337" s="3" t="n">
        <v>226006</v>
      </c>
      <c r="D1337" s="3" t="s">
        <v>1290</v>
      </c>
      <c r="E1337" s="18" t="n">
        <v>45315</v>
      </c>
      <c r="F1337" s="3" t="s">
        <v>1262</v>
      </c>
      <c r="G1337" s="3" t="s">
        <v>5</v>
      </c>
      <c r="H1337" s="19"/>
      <c r="I1337" s="19"/>
      <c r="J1337" s="20"/>
      <c r="K1337" s="20"/>
      <c r="L1337" s="19"/>
      <c r="M1337" s="19"/>
      <c r="N1337" s="19"/>
      <c r="O1337" s="20"/>
      <c r="P1337" s="20"/>
    </row>
    <row r="1338" customFormat="false" ht="14.25" hidden="false" customHeight="true" outlineLevel="0" collapsed="false">
      <c r="A1338" s="3" t="s">
        <v>1259</v>
      </c>
      <c r="B1338" s="3" t="s">
        <v>1260</v>
      </c>
      <c r="C1338" s="3" t="n">
        <v>226006</v>
      </c>
      <c r="D1338" s="3" t="s">
        <v>1501</v>
      </c>
      <c r="E1338" s="18" t="n">
        <v>45315</v>
      </c>
      <c r="F1338" s="3" t="s">
        <v>1262</v>
      </c>
      <c r="G1338" s="3" t="s">
        <v>1275</v>
      </c>
      <c r="H1338" s="19"/>
      <c r="I1338" s="19"/>
      <c r="J1338" s="20"/>
      <c r="K1338" s="20"/>
      <c r="L1338" s="19"/>
      <c r="M1338" s="19"/>
      <c r="N1338" s="19"/>
      <c r="O1338" s="20"/>
      <c r="P1338" s="20"/>
    </row>
    <row r="1339" customFormat="false" ht="14.25" hidden="false" customHeight="true" outlineLevel="0" collapsed="false">
      <c r="A1339" s="3" t="s">
        <v>1259</v>
      </c>
      <c r="B1339" s="3" t="s">
        <v>1260</v>
      </c>
      <c r="C1339" s="3" t="n">
        <v>226006</v>
      </c>
      <c r="D1339" s="3" t="s">
        <v>1292</v>
      </c>
      <c r="E1339" s="18" t="n">
        <v>45329</v>
      </c>
      <c r="F1339" s="3" t="s">
        <v>1262</v>
      </c>
      <c r="G1339" s="3" t="s">
        <v>5</v>
      </c>
      <c r="H1339" s="19"/>
      <c r="I1339" s="19"/>
      <c r="J1339" s="20"/>
      <c r="K1339" s="20"/>
      <c r="L1339" s="19"/>
      <c r="M1339" s="19"/>
      <c r="N1339" s="19"/>
      <c r="O1339" s="20"/>
      <c r="P1339" s="20"/>
    </row>
    <row r="1340" customFormat="false" ht="14.25" hidden="false" customHeight="true" outlineLevel="0" collapsed="false">
      <c r="A1340" s="3" t="s">
        <v>1259</v>
      </c>
      <c r="B1340" s="3" t="s">
        <v>1260</v>
      </c>
      <c r="C1340" s="3" t="n">
        <v>226006</v>
      </c>
      <c r="D1340" s="3" t="s">
        <v>1293</v>
      </c>
      <c r="E1340" s="18" t="n">
        <v>45343</v>
      </c>
      <c r="F1340" s="3" t="s">
        <v>1262</v>
      </c>
      <c r="G1340" s="3" t="s">
        <v>5</v>
      </c>
      <c r="H1340" s="19"/>
      <c r="I1340" s="19"/>
      <c r="J1340" s="20"/>
      <c r="K1340" s="20"/>
      <c r="L1340" s="19"/>
      <c r="M1340" s="19"/>
      <c r="N1340" s="19"/>
      <c r="O1340" s="20"/>
      <c r="P1340" s="20"/>
    </row>
    <row r="1341" customFormat="false" ht="14.25" hidden="false" customHeight="true" outlineLevel="0" collapsed="false">
      <c r="A1341" s="3" t="s">
        <v>1259</v>
      </c>
      <c r="B1341" s="3" t="s">
        <v>1260</v>
      </c>
      <c r="C1341" s="3" t="n">
        <v>226006</v>
      </c>
      <c r="D1341" s="3" t="s">
        <v>1294</v>
      </c>
      <c r="E1341" s="18" t="n">
        <v>45357</v>
      </c>
      <c r="F1341" s="3" t="s">
        <v>1262</v>
      </c>
      <c r="G1341" s="3" t="s">
        <v>5</v>
      </c>
      <c r="H1341" s="19"/>
      <c r="I1341" s="19"/>
      <c r="J1341" s="20"/>
      <c r="K1341" s="20"/>
      <c r="L1341" s="19"/>
      <c r="M1341" s="19"/>
      <c r="N1341" s="19"/>
      <c r="O1341" s="20"/>
      <c r="P1341" s="20"/>
    </row>
    <row r="1342" customFormat="false" ht="14.25" hidden="false" customHeight="true" outlineLevel="0" collapsed="false">
      <c r="A1342" s="3" t="s">
        <v>1259</v>
      </c>
      <c r="B1342" s="3" t="s">
        <v>1260</v>
      </c>
      <c r="C1342" s="3" t="n">
        <v>226006</v>
      </c>
      <c r="D1342" s="3" t="s">
        <v>1295</v>
      </c>
      <c r="E1342" s="18" t="n">
        <v>45372</v>
      </c>
      <c r="F1342" s="3" t="s">
        <v>1262</v>
      </c>
      <c r="G1342" s="3" t="s">
        <v>5</v>
      </c>
      <c r="H1342" s="19"/>
      <c r="I1342" s="19"/>
      <c r="J1342" s="20"/>
      <c r="K1342" s="20"/>
      <c r="L1342" s="19"/>
      <c r="M1342" s="19"/>
      <c r="N1342" s="19"/>
      <c r="O1342" s="20"/>
      <c r="P1342" s="20"/>
    </row>
    <row r="1343" customFormat="false" ht="14.25" hidden="false" customHeight="true" outlineLevel="0" collapsed="false">
      <c r="A1343" s="3" t="s">
        <v>1259</v>
      </c>
      <c r="B1343" s="3" t="s">
        <v>1260</v>
      </c>
      <c r="C1343" s="3" t="n">
        <v>226006</v>
      </c>
      <c r="D1343" s="3" t="s">
        <v>1322</v>
      </c>
      <c r="E1343" s="18" t="n">
        <v>45372</v>
      </c>
      <c r="F1343" s="3" t="s">
        <v>1262</v>
      </c>
      <c r="G1343" s="3" t="s">
        <v>1275</v>
      </c>
      <c r="H1343" s="19"/>
      <c r="I1343" s="19"/>
      <c r="J1343" s="20"/>
      <c r="K1343" s="20"/>
      <c r="L1343" s="19"/>
      <c r="M1343" s="19"/>
      <c r="N1343" s="19"/>
      <c r="O1343" s="20"/>
      <c r="P1343" s="20"/>
    </row>
    <row r="1344" customFormat="false" ht="14.25" hidden="false" customHeight="true" outlineLevel="0" collapsed="false">
      <c r="A1344" s="3" t="s">
        <v>1259</v>
      </c>
      <c r="B1344" s="3" t="s">
        <v>1260</v>
      </c>
      <c r="C1344" s="3" t="n">
        <v>226006</v>
      </c>
      <c r="D1344" s="3" t="s">
        <v>1297</v>
      </c>
      <c r="E1344" s="18" t="n">
        <v>45385</v>
      </c>
      <c r="F1344" s="3" t="s">
        <v>1262</v>
      </c>
      <c r="G1344" s="3" t="s">
        <v>5</v>
      </c>
      <c r="H1344" s="19"/>
      <c r="I1344" s="19"/>
      <c r="J1344" s="20"/>
      <c r="K1344" s="20"/>
      <c r="L1344" s="19"/>
      <c r="M1344" s="19"/>
      <c r="N1344" s="19"/>
      <c r="O1344" s="20"/>
      <c r="P1344" s="20"/>
    </row>
    <row r="1345" customFormat="false" ht="14.25" hidden="false" customHeight="true" outlineLevel="0" collapsed="false">
      <c r="A1345" s="3" t="s">
        <v>1259</v>
      </c>
      <c r="B1345" s="3" t="s">
        <v>1260</v>
      </c>
      <c r="C1345" s="3" t="n">
        <v>226006</v>
      </c>
      <c r="D1345" s="3" t="s">
        <v>1298</v>
      </c>
      <c r="E1345" s="18" t="n">
        <v>45399</v>
      </c>
      <c r="F1345" s="3" t="s">
        <v>1262</v>
      </c>
      <c r="G1345" s="3" t="s">
        <v>5</v>
      </c>
      <c r="H1345" s="19"/>
      <c r="I1345" s="19"/>
      <c r="J1345" s="20"/>
      <c r="K1345" s="20"/>
      <c r="L1345" s="19"/>
      <c r="M1345" s="19"/>
      <c r="N1345" s="19"/>
      <c r="O1345" s="20"/>
      <c r="P1345" s="20"/>
    </row>
    <row r="1346" customFormat="false" ht="14.25" hidden="false" customHeight="true" outlineLevel="0" collapsed="false">
      <c r="A1346" s="3" t="s">
        <v>1259</v>
      </c>
      <c r="B1346" s="3" t="s">
        <v>1260</v>
      </c>
      <c r="C1346" s="3" t="n">
        <v>226006</v>
      </c>
      <c r="D1346" s="3" t="s">
        <v>1299</v>
      </c>
      <c r="E1346" s="18" t="n">
        <v>45412</v>
      </c>
      <c r="F1346" s="3" t="s">
        <v>1262</v>
      </c>
      <c r="G1346" s="3" t="s">
        <v>5</v>
      </c>
      <c r="H1346" s="19"/>
      <c r="I1346" s="19"/>
      <c r="J1346" s="20"/>
      <c r="K1346" s="20"/>
      <c r="L1346" s="19"/>
      <c r="M1346" s="19"/>
      <c r="N1346" s="19"/>
      <c r="O1346" s="20"/>
      <c r="P1346" s="20"/>
    </row>
    <row r="1347" customFormat="false" ht="14.25" hidden="false" customHeight="true" outlineLevel="0" collapsed="false">
      <c r="A1347" s="3" t="s">
        <v>1259</v>
      </c>
      <c r="B1347" s="3" t="s">
        <v>1260</v>
      </c>
      <c r="C1347" s="3" t="n">
        <v>226006</v>
      </c>
      <c r="D1347" s="3" t="s">
        <v>1300</v>
      </c>
      <c r="E1347" s="18" t="n">
        <v>45426</v>
      </c>
      <c r="F1347" s="3" t="s">
        <v>1262</v>
      </c>
      <c r="G1347" s="3" t="s">
        <v>5</v>
      </c>
      <c r="H1347" s="19"/>
      <c r="I1347" s="19"/>
      <c r="J1347" s="20"/>
      <c r="K1347" s="20"/>
      <c r="L1347" s="19"/>
      <c r="M1347" s="19"/>
      <c r="N1347" s="19"/>
      <c r="O1347" s="20"/>
      <c r="P1347" s="20"/>
    </row>
    <row r="1348" customFormat="false" ht="14.25" hidden="false" customHeight="true" outlineLevel="0" collapsed="false">
      <c r="A1348" s="3" t="s">
        <v>1259</v>
      </c>
      <c r="B1348" s="3" t="s">
        <v>1260</v>
      </c>
      <c r="C1348" s="3" t="n">
        <v>226006</v>
      </c>
      <c r="D1348" s="3" t="s">
        <v>1311</v>
      </c>
      <c r="E1348" s="18" t="n">
        <v>45426</v>
      </c>
      <c r="F1348" s="3" t="s">
        <v>1262</v>
      </c>
      <c r="G1348" s="3" t="s">
        <v>1275</v>
      </c>
      <c r="H1348" s="19"/>
      <c r="I1348" s="19"/>
      <c r="J1348" s="20"/>
      <c r="K1348" s="20"/>
      <c r="L1348" s="19"/>
      <c r="M1348" s="19"/>
      <c r="N1348" s="19"/>
      <c r="O1348" s="20"/>
      <c r="P1348" s="20"/>
    </row>
    <row r="1349" customFormat="false" ht="14.25" hidden="false" customHeight="true" outlineLevel="0" collapsed="false">
      <c r="A1349" s="3" t="s">
        <v>1259</v>
      </c>
      <c r="B1349" s="3" t="s">
        <v>1260</v>
      </c>
      <c r="C1349" s="3" t="n">
        <v>226007</v>
      </c>
      <c r="D1349" s="3" t="s">
        <v>1261</v>
      </c>
      <c r="E1349" s="18" t="n">
        <v>45071</v>
      </c>
      <c r="F1349" s="3" t="s">
        <v>1262</v>
      </c>
      <c r="G1349" s="3" t="s">
        <v>5</v>
      </c>
      <c r="H1349" s="19" t="n">
        <v>45071</v>
      </c>
      <c r="I1349" s="19" t="n">
        <v>44957</v>
      </c>
      <c r="J1349" s="20" t="n">
        <v>62</v>
      </c>
      <c r="K1349" s="20" t="s">
        <v>1313</v>
      </c>
      <c r="L1349" s="19" t="s">
        <v>12</v>
      </c>
      <c r="M1349" s="19"/>
      <c r="N1349" s="19"/>
      <c r="O1349" s="20"/>
      <c r="P1349" s="20"/>
    </row>
    <row r="1350" customFormat="false" ht="14.25" hidden="false" customHeight="true" outlineLevel="0" collapsed="false">
      <c r="A1350" s="3" t="s">
        <v>1259</v>
      </c>
      <c r="B1350" s="3" t="s">
        <v>1260</v>
      </c>
      <c r="C1350" s="3" t="n">
        <v>226007</v>
      </c>
      <c r="D1350" s="3" t="s">
        <v>1264</v>
      </c>
      <c r="E1350" s="18" t="n">
        <v>45090</v>
      </c>
      <c r="F1350" s="3" t="s">
        <v>1262</v>
      </c>
      <c r="G1350" s="3" t="s">
        <v>5</v>
      </c>
      <c r="H1350" s="19"/>
      <c r="I1350" s="19"/>
      <c r="J1350" s="20"/>
      <c r="K1350" s="20"/>
      <c r="L1350" s="19"/>
      <c r="M1350" s="19"/>
      <c r="N1350" s="19"/>
      <c r="O1350" s="20"/>
      <c r="P1350" s="20"/>
    </row>
    <row r="1351" customFormat="false" ht="14.25" hidden="false" customHeight="true" outlineLevel="0" collapsed="false">
      <c r="A1351" s="3" t="s">
        <v>1259</v>
      </c>
      <c r="B1351" s="3" t="s">
        <v>1260</v>
      </c>
      <c r="C1351" s="3" t="n">
        <v>226007</v>
      </c>
      <c r="D1351" s="3" t="s">
        <v>1265</v>
      </c>
      <c r="E1351" s="18" t="n">
        <v>45092</v>
      </c>
      <c r="F1351" s="3" t="s">
        <v>1262</v>
      </c>
      <c r="G1351" s="3" t="s">
        <v>5</v>
      </c>
      <c r="H1351" s="19"/>
      <c r="I1351" s="19"/>
      <c r="J1351" s="20"/>
      <c r="K1351" s="20"/>
      <c r="L1351" s="19"/>
      <c r="M1351" s="19"/>
      <c r="N1351" s="19"/>
      <c r="O1351" s="20"/>
      <c r="P1351" s="20"/>
    </row>
    <row r="1352" customFormat="false" ht="14.25" hidden="false" customHeight="true" outlineLevel="0" collapsed="false">
      <c r="A1352" s="3" t="s">
        <v>1259</v>
      </c>
      <c r="B1352" s="3" t="s">
        <v>1260</v>
      </c>
      <c r="C1352" s="3" t="n">
        <v>226007</v>
      </c>
      <c r="D1352" s="3" t="s">
        <v>1266</v>
      </c>
      <c r="E1352" s="18" t="n">
        <v>45096</v>
      </c>
      <c r="F1352" s="3" t="s">
        <v>1262</v>
      </c>
      <c r="G1352" s="3" t="s">
        <v>5</v>
      </c>
      <c r="H1352" s="19"/>
      <c r="I1352" s="19"/>
      <c r="J1352" s="20"/>
      <c r="K1352" s="20"/>
      <c r="L1352" s="19"/>
      <c r="M1352" s="19"/>
      <c r="N1352" s="19"/>
      <c r="O1352" s="20"/>
      <c r="P1352" s="20"/>
    </row>
    <row r="1353" customFormat="false" ht="14.25" hidden="false" customHeight="true" outlineLevel="0" collapsed="false">
      <c r="A1353" s="3" t="s">
        <v>1259</v>
      </c>
      <c r="B1353" s="3" t="s">
        <v>1260</v>
      </c>
      <c r="C1353" s="3" t="n">
        <v>226007</v>
      </c>
      <c r="D1353" s="3" t="s">
        <v>1269</v>
      </c>
      <c r="E1353" s="18" t="n">
        <v>45103</v>
      </c>
      <c r="F1353" s="3" t="s">
        <v>1262</v>
      </c>
      <c r="G1353" s="3" t="s">
        <v>5</v>
      </c>
      <c r="H1353" s="19"/>
      <c r="I1353" s="19"/>
      <c r="J1353" s="20"/>
      <c r="K1353" s="20"/>
      <c r="L1353" s="19"/>
      <c r="M1353" s="19"/>
      <c r="N1353" s="19"/>
      <c r="O1353" s="20"/>
      <c r="P1353" s="20"/>
    </row>
    <row r="1354" customFormat="false" ht="14.25" hidden="false" customHeight="true" outlineLevel="0" collapsed="false">
      <c r="A1354" s="3" t="s">
        <v>1259</v>
      </c>
      <c r="B1354" s="3" t="s">
        <v>1260</v>
      </c>
      <c r="C1354" s="3" t="n">
        <v>226007</v>
      </c>
      <c r="D1354" s="3" t="s">
        <v>1270</v>
      </c>
      <c r="E1354" s="18" t="n">
        <v>45110</v>
      </c>
      <c r="F1354" s="3" t="s">
        <v>1262</v>
      </c>
      <c r="G1354" s="3" t="s">
        <v>5</v>
      </c>
      <c r="H1354" s="19"/>
      <c r="I1354" s="19"/>
      <c r="J1354" s="20"/>
      <c r="K1354" s="20"/>
      <c r="L1354" s="19"/>
      <c r="M1354" s="19"/>
      <c r="N1354" s="19"/>
      <c r="O1354" s="20"/>
      <c r="P1354" s="20"/>
    </row>
    <row r="1355" customFormat="false" ht="14.25" hidden="false" customHeight="true" outlineLevel="0" collapsed="false">
      <c r="A1355" s="3" t="s">
        <v>1259</v>
      </c>
      <c r="B1355" s="3" t="s">
        <v>1260</v>
      </c>
      <c r="C1355" s="3" t="n">
        <v>226007</v>
      </c>
      <c r="D1355" s="3" t="s">
        <v>1271</v>
      </c>
      <c r="E1355" s="18" t="n">
        <v>45117</v>
      </c>
      <c r="F1355" s="3" t="s">
        <v>1262</v>
      </c>
      <c r="G1355" s="3" t="s">
        <v>5</v>
      </c>
      <c r="H1355" s="19"/>
      <c r="I1355" s="19"/>
      <c r="J1355" s="20"/>
      <c r="K1355" s="20"/>
      <c r="L1355" s="19"/>
      <c r="M1355" s="19"/>
      <c r="N1355" s="19"/>
      <c r="O1355" s="20"/>
      <c r="P1355" s="20"/>
    </row>
    <row r="1356" customFormat="false" ht="14.25" hidden="false" customHeight="true" outlineLevel="0" collapsed="false">
      <c r="A1356" s="3" t="s">
        <v>1259</v>
      </c>
      <c r="B1356" s="3" t="s">
        <v>1260</v>
      </c>
      <c r="C1356" s="3" t="n">
        <v>226007</v>
      </c>
      <c r="D1356" s="3" t="s">
        <v>1272</v>
      </c>
      <c r="E1356" s="18" t="n">
        <v>45119</v>
      </c>
      <c r="F1356" s="3" t="s">
        <v>1262</v>
      </c>
      <c r="G1356" s="3" t="s">
        <v>5</v>
      </c>
      <c r="H1356" s="19"/>
      <c r="I1356" s="19"/>
      <c r="J1356" s="20"/>
      <c r="K1356" s="20"/>
      <c r="L1356" s="19"/>
      <c r="M1356" s="19"/>
      <c r="N1356" s="19"/>
      <c r="O1356" s="20"/>
      <c r="P1356" s="20"/>
    </row>
    <row r="1357" customFormat="false" ht="14.25" hidden="false" customHeight="true" outlineLevel="0" collapsed="false">
      <c r="A1357" s="3" t="s">
        <v>1259</v>
      </c>
      <c r="B1357" s="3" t="s">
        <v>1260</v>
      </c>
      <c r="C1357" s="3" t="n">
        <v>226007</v>
      </c>
      <c r="D1357" s="3" t="s">
        <v>1273</v>
      </c>
      <c r="E1357" s="18" t="n">
        <v>45131</v>
      </c>
      <c r="F1357" s="3" t="s">
        <v>1262</v>
      </c>
      <c r="G1357" s="3" t="s">
        <v>5</v>
      </c>
      <c r="H1357" s="19"/>
      <c r="I1357" s="19"/>
      <c r="J1357" s="20"/>
      <c r="K1357" s="20"/>
      <c r="L1357" s="19"/>
      <c r="M1357" s="19"/>
      <c r="N1357" s="19"/>
      <c r="O1357" s="20"/>
      <c r="P1357" s="20"/>
    </row>
    <row r="1358" customFormat="false" ht="14.25" hidden="false" customHeight="true" outlineLevel="0" collapsed="false">
      <c r="A1358" s="3" t="s">
        <v>1259</v>
      </c>
      <c r="B1358" s="3" t="s">
        <v>1260</v>
      </c>
      <c r="C1358" s="3" t="n">
        <v>226007</v>
      </c>
      <c r="D1358" s="3" t="s">
        <v>1276</v>
      </c>
      <c r="E1358" s="18" t="n">
        <v>45145</v>
      </c>
      <c r="F1358" s="3" t="s">
        <v>1262</v>
      </c>
      <c r="G1358" s="3" t="s">
        <v>5</v>
      </c>
      <c r="H1358" s="19"/>
      <c r="I1358" s="19"/>
      <c r="J1358" s="20"/>
      <c r="K1358" s="20"/>
      <c r="L1358" s="19"/>
      <c r="M1358" s="19"/>
      <c r="N1358" s="19"/>
      <c r="O1358" s="20"/>
      <c r="P1358" s="20"/>
    </row>
    <row r="1359" customFormat="false" ht="14.25" hidden="false" customHeight="true" outlineLevel="0" collapsed="false">
      <c r="A1359" s="3" t="s">
        <v>1259</v>
      </c>
      <c r="B1359" s="3" t="s">
        <v>1260</v>
      </c>
      <c r="C1359" s="3" t="n">
        <v>226007</v>
      </c>
      <c r="D1359" s="3" t="s">
        <v>1502</v>
      </c>
      <c r="E1359" s="18" t="n">
        <v>45145</v>
      </c>
      <c r="F1359" s="3" t="s">
        <v>1262</v>
      </c>
      <c r="G1359" s="3" t="s">
        <v>1275</v>
      </c>
      <c r="H1359" s="19"/>
      <c r="I1359" s="19"/>
      <c r="J1359" s="20"/>
      <c r="K1359" s="20"/>
      <c r="L1359" s="19"/>
      <c r="M1359" s="19"/>
      <c r="N1359" s="19"/>
      <c r="O1359" s="20"/>
      <c r="P1359" s="20"/>
    </row>
    <row r="1360" customFormat="false" ht="14.25" hidden="false" customHeight="true" outlineLevel="0" collapsed="false">
      <c r="A1360" s="3" t="s">
        <v>1259</v>
      </c>
      <c r="B1360" s="3" t="s">
        <v>1260</v>
      </c>
      <c r="C1360" s="3" t="n">
        <v>226007</v>
      </c>
      <c r="D1360" s="3" t="s">
        <v>1277</v>
      </c>
      <c r="E1360" s="18" t="n">
        <v>45159</v>
      </c>
      <c r="F1360" s="3" t="s">
        <v>1262</v>
      </c>
      <c r="G1360" s="3" t="s">
        <v>5</v>
      </c>
      <c r="H1360" s="19"/>
      <c r="I1360" s="19"/>
      <c r="J1360" s="20"/>
      <c r="K1360" s="20"/>
      <c r="L1360" s="19"/>
      <c r="M1360" s="19"/>
      <c r="N1360" s="19"/>
      <c r="O1360" s="20"/>
      <c r="P1360" s="20"/>
    </row>
    <row r="1361" customFormat="false" ht="14.25" hidden="false" customHeight="true" outlineLevel="0" collapsed="false">
      <c r="A1361" s="3" t="s">
        <v>1259</v>
      </c>
      <c r="B1361" s="3" t="s">
        <v>1260</v>
      </c>
      <c r="C1361" s="3" t="n">
        <v>226007</v>
      </c>
      <c r="D1361" s="3" t="s">
        <v>1278</v>
      </c>
      <c r="E1361" s="18" t="n">
        <v>45173</v>
      </c>
      <c r="F1361" s="3" t="s">
        <v>1262</v>
      </c>
      <c r="G1361" s="3" t="s">
        <v>5</v>
      </c>
      <c r="H1361" s="19"/>
      <c r="I1361" s="19"/>
      <c r="J1361" s="20"/>
      <c r="K1361" s="20"/>
      <c r="L1361" s="19"/>
      <c r="M1361" s="19"/>
      <c r="N1361" s="19"/>
      <c r="O1361" s="20"/>
      <c r="P1361" s="20"/>
    </row>
    <row r="1362" customFormat="false" ht="14.25" hidden="false" customHeight="true" outlineLevel="0" collapsed="false">
      <c r="A1362" s="3" t="s">
        <v>1259</v>
      </c>
      <c r="B1362" s="3" t="s">
        <v>1260</v>
      </c>
      <c r="C1362" s="3" t="n">
        <v>226007</v>
      </c>
      <c r="D1362" s="3" t="s">
        <v>1488</v>
      </c>
      <c r="E1362" s="18" t="n">
        <v>45175</v>
      </c>
      <c r="F1362" s="3" t="s">
        <v>1262</v>
      </c>
      <c r="G1362" s="3" t="s">
        <v>5</v>
      </c>
      <c r="H1362" s="19"/>
      <c r="I1362" s="19"/>
      <c r="J1362" s="20"/>
      <c r="K1362" s="20"/>
      <c r="L1362" s="19"/>
      <c r="M1362" s="19"/>
      <c r="N1362" s="19"/>
      <c r="O1362" s="20"/>
      <c r="P1362" s="20"/>
    </row>
    <row r="1363" customFormat="false" ht="14.25" hidden="false" customHeight="true" outlineLevel="0" collapsed="false">
      <c r="A1363" s="3" t="s">
        <v>1259</v>
      </c>
      <c r="B1363" s="3" t="s">
        <v>1260</v>
      </c>
      <c r="C1363" s="3" t="n">
        <v>226007</v>
      </c>
      <c r="D1363" s="3" t="s">
        <v>1489</v>
      </c>
      <c r="E1363" s="18" t="n">
        <v>45177</v>
      </c>
      <c r="F1363" s="3" t="s">
        <v>1262</v>
      </c>
      <c r="G1363" s="3" t="s">
        <v>5</v>
      </c>
      <c r="H1363" s="19"/>
      <c r="I1363" s="19"/>
      <c r="J1363" s="20"/>
      <c r="K1363" s="20"/>
      <c r="L1363" s="19"/>
      <c r="M1363" s="19"/>
      <c r="N1363" s="19"/>
      <c r="O1363" s="20"/>
      <c r="P1363" s="20"/>
    </row>
    <row r="1364" customFormat="false" ht="14.25" hidden="false" customHeight="true" outlineLevel="0" collapsed="false">
      <c r="A1364" s="3" t="s">
        <v>1259</v>
      </c>
      <c r="B1364" s="3" t="s">
        <v>1260</v>
      </c>
      <c r="C1364" s="3" t="n">
        <v>226007</v>
      </c>
      <c r="D1364" s="3" t="s">
        <v>1490</v>
      </c>
      <c r="E1364" s="18" t="n">
        <v>45180</v>
      </c>
      <c r="F1364" s="3" t="s">
        <v>1262</v>
      </c>
      <c r="G1364" s="3" t="s">
        <v>5</v>
      </c>
      <c r="H1364" s="19"/>
      <c r="I1364" s="19"/>
      <c r="J1364" s="20"/>
      <c r="K1364" s="20"/>
      <c r="L1364" s="19"/>
      <c r="M1364" s="19"/>
      <c r="N1364" s="19"/>
      <c r="O1364" s="20"/>
      <c r="P1364" s="20"/>
    </row>
    <row r="1365" customFormat="false" ht="14.25" hidden="false" customHeight="true" outlineLevel="0" collapsed="false">
      <c r="A1365" s="3" t="s">
        <v>1259</v>
      </c>
      <c r="B1365" s="3" t="s">
        <v>1260</v>
      </c>
      <c r="C1365" s="3" t="n">
        <v>226007</v>
      </c>
      <c r="D1365" s="3" t="s">
        <v>1279</v>
      </c>
      <c r="E1365" s="18" t="n">
        <v>45187</v>
      </c>
      <c r="F1365" s="3" t="s">
        <v>1262</v>
      </c>
      <c r="G1365" s="3" t="s">
        <v>5</v>
      </c>
      <c r="H1365" s="19"/>
      <c r="I1365" s="19"/>
      <c r="J1365" s="20"/>
      <c r="K1365" s="20"/>
      <c r="L1365" s="19"/>
      <c r="M1365" s="19"/>
      <c r="N1365" s="19"/>
      <c r="O1365" s="20"/>
      <c r="P1365" s="20"/>
    </row>
    <row r="1366" customFormat="false" ht="14.25" hidden="false" customHeight="true" outlineLevel="0" collapsed="false">
      <c r="A1366" s="3" t="s">
        <v>1259</v>
      </c>
      <c r="B1366" s="3" t="s">
        <v>1260</v>
      </c>
      <c r="C1366" s="3" t="n">
        <v>226007</v>
      </c>
      <c r="D1366" s="3" t="s">
        <v>1291</v>
      </c>
      <c r="E1366" s="18" t="n">
        <v>45203</v>
      </c>
      <c r="F1366" s="3" t="s">
        <v>1262</v>
      </c>
      <c r="G1366" s="3" t="s">
        <v>1275</v>
      </c>
      <c r="H1366" s="19"/>
      <c r="I1366" s="19"/>
      <c r="J1366" s="20"/>
      <c r="K1366" s="20"/>
      <c r="L1366" s="19"/>
      <c r="M1366" s="19"/>
      <c r="N1366" s="19"/>
      <c r="O1366" s="20"/>
      <c r="P1366" s="20"/>
    </row>
    <row r="1367" customFormat="false" ht="14.25" hidden="false" customHeight="true" outlineLevel="0" collapsed="false">
      <c r="A1367" s="3" t="s">
        <v>1259</v>
      </c>
      <c r="B1367" s="3" t="s">
        <v>1260</v>
      </c>
      <c r="C1367" s="3" t="n">
        <v>226007</v>
      </c>
      <c r="D1367" s="3" t="s">
        <v>1281</v>
      </c>
      <c r="E1367" s="18" t="n">
        <v>45204</v>
      </c>
      <c r="F1367" s="3" t="s">
        <v>1262</v>
      </c>
      <c r="G1367" s="3" t="s">
        <v>5</v>
      </c>
      <c r="H1367" s="19"/>
      <c r="I1367" s="19"/>
      <c r="J1367" s="20"/>
      <c r="K1367" s="20"/>
      <c r="L1367" s="19"/>
      <c r="M1367" s="19"/>
      <c r="N1367" s="19"/>
      <c r="O1367" s="20"/>
      <c r="P1367" s="20"/>
    </row>
    <row r="1368" customFormat="false" ht="14.25" hidden="false" customHeight="true" outlineLevel="0" collapsed="false">
      <c r="A1368" s="3" t="s">
        <v>1259</v>
      </c>
      <c r="B1368" s="3" t="s">
        <v>1260</v>
      </c>
      <c r="C1368" s="3" t="n">
        <v>226007</v>
      </c>
      <c r="D1368" s="3" t="s">
        <v>1282</v>
      </c>
      <c r="E1368" s="18" t="n">
        <v>45215</v>
      </c>
      <c r="F1368" s="3" t="s">
        <v>1262</v>
      </c>
      <c r="G1368" s="3" t="s">
        <v>5</v>
      </c>
      <c r="H1368" s="19"/>
      <c r="I1368" s="19"/>
      <c r="J1368" s="20"/>
      <c r="K1368" s="20"/>
      <c r="L1368" s="19"/>
      <c r="M1368" s="19"/>
      <c r="N1368" s="19"/>
      <c r="O1368" s="20"/>
      <c r="P1368" s="20"/>
    </row>
    <row r="1369" customFormat="false" ht="14.25" hidden="false" customHeight="true" outlineLevel="0" collapsed="false">
      <c r="A1369" s="3" t="s">
        <v>1259</v>
      </c>
      <c r="B1369" s="3" t="s">
        <v>1260</v>
      </c>
      <c r="C1369" s="3" t="n">
        <v>226007</v>
      </c>
      <c r="D1369" s="3" t="s">
        <v>1283</v>
      </c>
      <c r="E1369" s="18" t="n">
        <v>45229</v>
      </c>
      <c r="F1369" s="3" t="s">
        <v>1262</v>
      </c>
      <c r="G1369" s="3" t="s">
        <v>5</v>
      </c>
      <c r="H1369" s="19"/>
      <c r="I1369" s="19"/>
      <c r="J1369" s="20"/>
      <c r="K1369" s="20"/>
      <c r="L1369" s="19"/>
      <c r="M1369" s="19"/>
      <c r="N1369" s="19"/>
      <c r="O1369" s="20"/>
      <c r="P1369" s="20"/>
    </row>
    <row r="1370" customFormat="false" ht="14.25" hidden="false" customHeight="true" outlineLevel="0" collapsed="false">
      <c r="A1370" s="3" t="s">
        <v>1259</v>
      </c>
      <c r="B1370" s="3" t="s">
        <v>1260</v>
      </c>
      <c r="C1370" s="3" t="n">
        <v>226007</v>
      </c>
      <c r="D1370" s="3" t="s">
        <v>1284</v>
      </c>
      <c r="E1370" s="18" t="n">
        <v>45243</v>
      </c>
      <c r="F1370" s="3" t="s">
        <v>1262</v>
      </c>
      <c r="G1370" s="3" t="s">
        <v>5</v>
      </c>
      <c r="H1370" s="19"/>
      <c r="I1370" s="19"/>
      <c r="J1370" s="20"/>
      <c r="K1370" s="20"/>
      <c r="L1370" s="19"/>
      <c r="M1370" s="19"/>
      <c r="N1370" s="19"/>
      <c r="O1370" s="20"/>
      <c r="P1370" s="20"/>
    </row>
    <row r="1371" customFormat="false" ht="14.25" hidden="false" customHeight="true" outlineLevel="0" collapsed="false">
      <c r="A1371" s="3" t="s">
        <v>1259</v>
      </c>
      <c r="B1371" s="3" t="s">
        <v>1260</v>
      </c>
      <c r="C1371" s="3" t="n">
        <v>226007</v>
      </c>
      <c r="D1371" s="3" t="s">
        <v>1286</v>
      </c>
      <c r="E1371" s="18" t="n">
        <v>45257</v>
      </c>
      <c r="F1371" s="3" t="s">
        <v>1262</v>
      </c>
      <c r="G1371" s="3" t="s">
        <v>5</v>
      </c>
      <c r="H1371" s="19"/>
      <c r="I1371" s="19"/>
      <c r="J1371" s="20"/>
      <c r="K1371" s="20"/>
      <c r="L1371" s="19"/>
      <c r="M1371" s="19"/>
      <c r="N1371" s="19"/>
      <c r="O1371" s="20"/>
      <c r="P1371" s="20"/>
    </row>
    <row r="1372" customFormat="false" ht="14.25" hidden="false" customHeight="true" outlineLevel="0" collapsed="false">
      <c r="A1372" s="3" t="s">
        <v>1259</v>
      </c>
      <c r="B1372" s="3" t="s">
        <v>1260</v>
      </c>
      <c r="C1372" s="3" t="n">
        <v>226007</v>
      </c>
      <c r="D1372" s="3" t="s">
        <v>1443</v>
      </c>
      <c r="E1372" s="18" t="n">
        <v>45257</v>
      </c>
      <c r="F1372" s="3" t="s">
        <v>1262</v>
      </c>
      <c r="G1372" s="3" t="s">
        <v>1275</v>
      </c>
      <c r="H1372" s="19"/>
      <c r="I1372" s="19"/>
      <c r="J1372" s="20"/>
      <c r="K1372" s="20"/>
      <c r="L1372" s="19"/>
      <c r="M1372" s="19"/>
      <c r="N1372" s="19"/>
      <c r="O1372" s="20"/>
      <c r="P1372" s="20"/>
    </row>
    <row r="1373" customFormat="false" ht="14.25" hidden="false" customHeight="true" outlineLevel="0" collapsed="false">
      <c r="A1373" s="3" t="s">
        <v>1259</v>
      </c>
      <c r="B1373" s="3" t="s">
        <v>1260</v>
      </c>
      <c r="C1373" s="3" t="n">
        <v>226007</v>
      </c>
      <c r="D1373" s="3" t="s">
        <v>1287</v>
      </c>
      <c r="E1373" s="18" t="n">
        <v>45271</v>
      </c>
      <c r="F1373" s="3" t="s">
        <v>1262</v>
      </c>
      <c r="G1373" s="3" t="s">
        <v>5</v>
      </c>
      <c r="H1373" s="19"/>
      <c r="I1373" s="19"/>
      <c r="J1373" s="20"/>
      <c r="K1373" s="20"/>
      <c r="L1373" s="19"/>
      <c r="M1373" s="19"/>
      <c r="N1373" s="19"/>
      <c r="O1373" s="20"/>
      <c r="P1373" s="20"/>
    </row>
    <row r="1374" customFormat="false" ht="14.25" hidden="false" customHeight="true" outlineLevel="0" collapsed="false">
      <c r="A1374" s="3" t="s">
        <v>1259</v>
      </c>
      <c r="B1374" s="3" t="s">
        <v>1260</v>
      </c>
      <c r="C1374" s="3" t="n">
        <v>226007</v>
      </c>
      <c r="D1374" s="3" t="s">
        <v>1288</v>
      </c>
      <c r="E1374" s="18" t="n">
        <v>45286</v>
      </c>
      <c r="F1374" s="3" t="s">
        <v>1262</v>
      </c>
      <c r="G1374" s="3" t="s">
        <v>5</v>
      </c>
      <c r="H1374" s="19"/>
      <c r="I1374" s="19"/>
      <c r="J1374" s="20"/>
      <c r="K1374" s="20"/>
      <c r="L1374" s="19"/>
      <c r="M1374" s="19"/>
      <c r="N1374" s="19"/>
      <c r="O1374" s="20"/>
      <c r="P1374" s="20"/>
    </row>
    <row r="1375" customFormat="false" ht="14.25" hidden="false" customHeight="true" outlineLevel="0" collapsed="false">
      <c r="A1375" s="3" t="s">
        <v>1259</v>
      </c>
      <c r="B1375" s="3" t="s">
        <v>1260</v>
      </c>
      <c r="C1375" s="3" t="n">
        <v>226007</v>
      </c>
      <c r="D1375" s="3" t="s">
        <v>1289</v>
      </c>
      <c r="E1375" s="18" t="n">
        <v>45299</v>
      </c>
      <c r="F1375" s="3" t="s">
        <v>1262</v>
      </c>
      <c r="G1375" s="3" t="s">
        <v>5</v>
      </c>
      <c r="H1375" s="19"/>
      <c r="I1375" s="19"/>
      <c r="J1375" s="20"/>
      <c r="K1375" s="20"/>
      <c r="L1375" s="19"/>
      <c r="M1375" s="19"/>
      <c r="N1375" s="19"/>
      <c r="O1375" s="20"/>
      <c r="P1375" s="20"/>
    </row>
    <row r="1376" customFormat="false" ht="14.25" hidden="false" customHeight="true" outlineLevel="0" collapsed="false">
      <c r="A1376" s="3" t="s">
        <v>1259</v>
      </c>
      <c r="B1376" s="3" t="s">
        <v>1260</v>
      </c>
      <c r="C1376" s="3" t="n">
        <v>226007</v>
      </c>
      <c r="D1376" s="3" t="s">
        <v>1290</v>
      </c>
      <c r="E1376" s="18" t="n">
        <v>45313</v>
      </c>
      <c r="F1376" s="3" t="s">
        <v>1262</v>
      </c>
      <c r="G1376" s="3" t="s">
        <v>5</v>
      </c>
      <c r="H1376" s="19"/>
      <c r="I1376" s="19"/>
      <c r="J1376" s="20"/>
      <c r="K1376" s="20"/>
      <c r="L1376" s="19"/>
      <c r="M1376" s="19"/>
      <c r="N1376" s="19"/>
      <c r="O1376" s="20"/>
      <c r="P1376" s="20"/>
    </row>
    <row r="1377" customFormat="false" ht="14.25" hidden="false" customHeight="true" outlineLevel="0" collapsed="false">
      <c r="A1377" s="3" t="s">
        <v>1259</v>
      </c>
      <c r="B1377" s="3" t="s">
        <v>1260</v>
      </c>
      <c r="C1377" s="3" t="n">
        <v>226007</v>
      </c>
      <c r="D1377" s="3" t="s">
        <v>1440</v>
      </c>
      <c r="E1377" s="18" t="n">
        <v>45313</v>
      </c>
      <c r="F1377" s="3" t="s">
        <v>1262</v>
      </c>
      <c r="G1377" s="3" t="s">
        <v>1275</v>
      </c>
      <c r="H1377" s="19"/>
      <c r="I1377" s="19"/>
      <c r="J1377" s="20"/>
      <c r="K1377" s="20"/>
      <c r="L1377" s="19"/>
      <c r="M1377" s="19"/>
      <c r="N1377" s="19"/>
      <c r="O1377" s="20"/>
      <c r="P1377" s="20"/>
    </row>
    <row r="1378" customFormat="false" ht="14.25" hidden="false" customHeight="true" outlineLevel="0" collapsed="false">
      <c r="A1378" s="3" t="s">
        <v>1259</v>
      </c>
      <c r="B1378" s="3" t="s">
        <v>1260</v>
      </c>
      <c r="C1378" s="3" t="n">
        <v>226007</v>
      </c>
      <c r="D1378" s="3" t="s">
        <v>1292</v>
      </c>
      <c r="E1378" s="18" t="n">
        <v>45327</v>
      </c>
      <c r="F1378" s="3" t="s">
        <v>1262</v>
      </c>
      <c r="G1378" s="3" t="s">
        <v>5</v>
      </c>
      <c r="H1378" s="19"/>
      <c r="I1378" s="19"/>
      <c r="J1378" s="20"/>
      <c r="K1378" s="20"/>
      <c r="L1378" s="19"/>
      <c r="M1378" s="19"/>
      <c r="N1378" s="19"/>
      <c r="O1378" s="20"/>
      <c r="P1378" s="20"/>
    </row>
    <row r="1379" customFormat="false" ht="14.25" hidden="false" customHeight="true" outlineLevel="0" collapsed="false">
      <c r="A1379" s="3" t="s">
        <v>1259</v>
      </c>
      <c r="B1379" s="3" t="s">
        <v>1260</v>
      </c>
      <c r="C1379" s="3" t="n">
        <v>226007</v>
      </c>
      <c r="D1379" s="3" t="s">
        <v>1293</v>
      </c>
      <c r="E1379" s="18" t="n">
        <v>45341</v>
      </c>
      <c r="F1379" s="3" t="s">
        <v>1262</v>
      </c>
      <c r="G1379" s="3" t="s">
        <v>5</v>
      </c>
      <c r="H1379" s="19"/>
      <c r="I1379" s="19"/>
      <c r="J1379" s="20"/>
      <c r="K1379" s="20"/>
      <c r="L1379" s="19"/>
      <c r="M1379" s="19"/>
      <c r="N1379" s="19"/>
      <c r="O1379" s="20"/>
      <c r="P1379" s="20"/>
    </row>
    <row r="1380" customFormat="false" ht="14.25" hidden="false" customHeight="true" outlineLevel="0" collapsed="false">
      <c r="A1380" s="3" t="s">
        <v>1259</v>
      </c>
      <c r="B1380" s="3" t="s">
        <v>1260</v>
      </c>
      <c r="C1380" s="3" t="n">
        <v>226007</v>
      </c>
      <c r="D1380" s="3" t="s">
        <v>1294</v>
      </c>
      <c r="E1380" s="18" t="n">
        <v>45356</v>
      </c>
      <c r="F1380" s="3" t="s">
        <v>1262</v>
      </c>
      <c r="G1380" s="3" t="s">
        <v>5</v>
      </c>
      <c r="H1380" s="19"/>
      <c r="I1380" s="19"/>
      <c r="J1380" s="20"/>
      <c r="K1380" s="20"/>
      <c r="L1380" s="19"/>
      <c r="M1380" s="19"/>
      <c r="N1380" s="19"/>
      <c r="O1380" s="20"/>
      <c r="P1380" s="20"/>
    </row>
    <row r="1381" customFormat="false" ht="14.25" hidden="false" customHeight="true" outlineLevel="0" collapsed="false">
      <c r="A1381" s="3" t="s">
        <v>1259</v>
      </c>
      <c r="B1381" s="3" t="s">
        <v>1260</v>
      </c>
      <c r="C1381" s="3" t="n">
        <v>226007</v>
      </c>
      <c r="D1381" s="3" t="s">
        <v>1295</v>
      </c>
      <c r="E1381" s="18" t="n">
        <v>45369</v>
      </c>
      <c r="F1381" s="3" t="s">
        <v>1262</v>
      </c>
      <c r="G1381" s="3" t="s">
        <v>5</v>
      </c>
      <c r="H1381" s="19"/>
      <c r="I1381" s="19"/>
      <c r="J1381" s="20"/>
      <c r="K1381" s="20"/>
      <c r="L1381" s="19"/>
      <c r="M1381" s="19"/>
      <c r="N1381" s="19"/>
      <c r="O1381" s="20"/>
      <c r="P1381" s="20"/>
    </row>
    <row r="1382" customFormat="false" ht="14.25" hidden="false" customHeight="true" outlineLevel="0" collapsed="false">
      <c r="A1382" s="3" t="s">
        <v>1259</v>
      </c>
      <c r="B1382" s="3" t="s">
        <v>1260</v>
      </c>
      <c r="C1382" s="3" t="n">
        <v>226007</v>
      </c>
      <c r="D1382" s="3" t="s">
        <v>1493</v>
      </c>
      <c r="E1382" s="18" t="n">
        <v>45369</v>
      </c>
      <c r="F1382" s="3" t="s">
        <v>1262</v>
      </c>
      <c r="G1382" s="3" t="s">
        <v>1275</v>
      </c>
      <c r="H1382" s="19"/>
      <c r="I1382" s="19"/>
      <c r="J1382" s="20"/>
      <c r="K1382" s="20"/>
      <c r="L1382" s="19"/>
      <c r="M1382" s="19"/>
      <c r="N1382" s="19"/>
      <c r="O1382" s="20"/>
      <c r="P1382" s="20"/>
    </row>
    <row r="1383" customFormat="false" ht="14.25" hidden="false" customHeight="true" outlineLevel="0" collapsed="false">
      <c r="A1383" s="3" t="s">
        <v>1259</v>
      </c>
      <c r="B1383" s="3" t="s">
        <v>1260</v>
      </c>
      <c r="C1383" s="3" t="n">
        <v>226007</v>
      </c>
      <c r="D1383" s="3" t="s">
        <v>1297</v>
      </c>
      <c r="E1383" s="18" t="n">
        <v>45383</v>
      </c>
      <c r="F1383" s="3" t="s">
        <v>1262</v>
      </c>
      <c r="G1383" s="3" t="s">
        <v>5</v>
      </c>
      <c r="H1383" s="19"/>
      <c r="I1383" s="19"/>
      <c r="J1383" s="20"/>
      <c r="K1383" s="20"/>
      <c r="L1383" s="19"/>
      <c r="M1383" s="19"/>
      <c r="N1383" s="19"/>
      <c r="O1383" s="20"/>
      <c r="P1383" s="20"/>
    </row>
    <row r="1384" customFormat="false" ht="14.25" hidden="false" customHeight="true" outlineLevel="0" collapsed="false">
      <c r="A1384" s="3" t="s">
        <v>1259</v>
      </c>
      <c r="B1384" s="3" t="s">
        <v>1260</v>
      </c>
      <c r="C1384" s="3" t="n">
        <v>226007</v>
      </c>
      <c r="D1384" s="3" t="s">
        <v>1298</v>
      </c>
      <c r="E1384" s="18" t="n">
        <v>45397</v>
      </c>
      <c r="F1384" s="3" t="s">
        <v>1262</v>
      </c>
      <c r="G1384" s="3" t="s">
        <v>5</v>
      </c>
      <c r="H1384" s="19"/>
      <c r="I1384" s="19"/>
      <c r="J1384" s="20"/>
      <c r="K1384" s="20"/>
      <c r="L1384" s="19"/>
      <c r="M1384" s="19"/>
      <c r="N1384" s="19"/>
      <c r="O1384" s="20"/>
      <c r="P1384" s="20"/>
    </row>
    <row r="1385" customFormat="false" ht="14.25" hidden="false" customHeight="true" outlineLevel="0" collapsed="false">
      <c r="A1385" s="3" t="s">
        <v>1259</v>
      </c>
      <c r="B1385" s="3" t="s">
        <v>1260</v>
      </c>
      <c r="C1385" s="3" t="n">
        <v>226007</v>
      </c>
      <c r="D1385" s="3" t="s">
        <v>1299</v>
      </c>
      <c r="E1385" s="18" t="n">
        <v>45411</v>
      </c>
      <c r="F1385" s="3" t="s">
        <v>1262</v>
      </c>
      <c r="G1385" s="3" t="s">
        <v>5</v>
      </c>
      <c r="H1385" s="19"/>
      <c r="I1385" s="19"/>
      <c r="J1385" s="20"/>
      <c r="K1385" s="20"/>
      <c r="L1385" s="19"/>
      <c r="M1385" s="19"/>
      <c r="N1385" s="19"/>
      <c r="O1385" s="20"/>
      <c r="P1385" s="20"/>
    </row>
    <row r="1386" customFormat="false" ht="14.25" hidden="false" customHeight="true" outlineLevel="0" collapsed="false">
      <c r="A1386" s="3" t="s">
        <v>1259</v>
      </c>
      <c r="B1386" s="3" t="s">
        <v>1260</v>
      </c>
      <c r="C1386" s="3" t="n">
        <v>226007</v>
      </c>
      <c r="D1386" s="3" t="s">
        <v>1300</v>
      </c>
      <c r="E1386" s="18" t="n">
        <v>45425</v>
      </c>
      <c r="F1386" s="3" t="s">
        <v>1262</v>
      </c>
      <c r="G1386" s="3" t="s">
        <v>5</v>
      </c>
      <c r="H1386" s="19"/>
      <c r="I1386" s="19"/>
      <c r="J1386" s="20"/>
      <c r="K1386" s="20"/>
      <c r="L1386" s="19"/>
      <c r="M1386" s="19"/>
      <c r="N1386" s="19"/>
      <c r="O1386" s="20"/>
      <c r="P1386" s="20"/>
    </row>
    <row r="1387" customFormat="false" ht="14.25" hidden="false" customHeight="true" outlineLevel="0" collapsed="false">
      <c r="A1387" s="3" t="s">
        <v>1259</v>
      </c>
      <c r="B1387" s="3" t="s">
        <v>1260</v>
      </c>
      <c r="C1387" s="3" t="n">
        <v>226007</v>
      </c>
      <c r="D1387" s="3" t="s">
        <v>1494</v>
      </c>
      <c r="E1387" s="18" t="n">
        <v>45425</v>
      </c>
      <c r="F1387" s="3" t="s">
        <v>1262</v>
      </c>
      <c r="G1387" s="3" t="s">
        <v>1275</v>
      </c>
      <c r="H1387" s="19"/>
      <c r="I1387" s="19"/>
      <c r="J1387" s="20"/>
      <c r="K1387" s="20"/>
      <c r="L1387" s="19"/>
      <c r="M1387" s="19"/>
      <c r="N1387" s="19"/>
      <c r="O1387" s="20"/>
      <c r="P1387" s="20"/>
    </row>
    <row r="1388" customFormat="false" ht="14.25" hidden="false" customHeight="true" outlineLevel="0" collapsed="false">
      <c r="A1388" s="3" t="s">
        <v>1259</v>
      </c>
      <c r="B1388" s="3" t="s">
        <v>1260</v>
      </c>
      <c r="C1388" s="3" t="n">
        <v>226014</v>
      </c>
      <c r="D1388" s="3" t="s">
        <v>1261</v>
      </c>
      <c r="E1388" s="18" t="n">
        <v>45077</v>
      </c>
      <c r="F1388" s="3" t="s">
        <v>1262</v>
      </c>
      <c r="G1388" s="3" t="s">
        <v>5</v>
      </c>
      <c r="H1388" s="19" t="n">
        <v>45077</v>
      </c>
      <c r="I1388" s="19" t="n">
        <v>44957</v>
      </c>
      <c r="J1388" s="20" t="n">
        <v>62</v>
      </c>
      <c r="K1388" s="20" t="s">
        <v>1313</v>
      </c>
      <c r="L1388" s="19" t="s">
        <v>12</v>
      </c>
      <c r="M1388" s="19"/>
      <c r="N1388" s="19"/>
      <c r="O1388" s="20"/>
      <c r="P1388" s="20"/>
    </row>
    <row r="1389" customFormat="false" ht="14.25" hidden="false" customHeight="true" outlineLevel="0" collapsed="false">
      <c r="A1389" s="3" t="s">
        <v>1259</v>
      </c>
      <c r="B1389" s="3" t="s">
        <v>1260</v>
      </c>
      <c r="C1389" s="3" t="n">
        <v>226014</v>
      </c>
      <c r="D1389" s="3" t="s">
        <v>1264</v>
      </c>
      <c r="E1389" s="18" t="n">
        <v>45098</v>
      </c>
      <c r="F1389" s="3" t="s">
        <v>1262</v>
      </c>
      <c r="G1389" s="3" t="s">
        <v>5</v>
      </c>
      <c r="H1389" s="19"/>
      <c r="I1389" s="19"/>
      <c r="J1389" s="20"/>
      <c r="K1389" s="20"/>
      <c r="L1389" s="19"/>
      <c r="M1389" s="19"/>
      <c r="N1389" s="19"/>
      <c r="O1389" s="20"/>
      <c r="P1389" s="20"/>
    </row>
    <row r="1390" customFormat="false" ht="14.25" hidden="false" customHeight="true" outlineLevel="0" collapsed="false">
      <c r="A1390" s="3" t="s">
        <v>1259</v>
      </c>
      <c r="B1390" s="3" t="s">
        <v>1260</v>
      </c>
      <c r="C1390" s="3" t="n">
        <v>226014</v>
      </c>
      <c r="D1390" s="3" t="s">
        <v>1265</v>
      </c>
      <c r="E1390" s="18" t="n">
        <v>45100</v>
      </c>
      <c r="F1390" s="3" t="s">
        <v>1262</v>
      </c>
      <c r="G1390" s="3" t="s">
        <v>5</v>
      </c>
      <c r="H1390" s="19"/>
      <c r="I1390" s="19"/>
      <c r="J1390" s="20"/>
      <c r="K1390" s="20"/>
      <c r="L1390" s="19"/>
      <c r="M1390" s="19"/>
      <c r="N1390" s="19"/>
      <c r="O1390" s="20"/>
      <c r="P1390" s="20"/>
    </row>
    <row r="1391" customFormat="false" ht="14.25" hidden="false" customHeight="true" outlineLevel="0" collapsed="false">
      <c r="A1391" s="3" t="s">
        <v>1259</v>
      </c>
      <c r="B1391" s="3" t="s">
        <v>1260</v>
      </c>
      <c r="C1391" s="3" t="n">
        <v>226014</v>
      </c>
      <c r="D1391" s="3" t="s">
        <v>1266</v>
      </c>
      <c r="E1391" s="18" t="n">
        <v>45105</v>
      </c>
      <c r="F1391" s="3" t="s">
        <v>1262</v>
      </c>
      <c r="G1391" s="3" t="s">
        <v>5</v>
      </c>
      <c r="H1391" s="19"/>
      <c r="I1391" s="19"/>
      <c r="J1391" s="20"/>
      <c r="K1391" s="20"/>
      <c r="L1391" s="19"/>
      <c r="M1391" s="19"/>
      <c r="N1391" s="19"/>
      <c r="O1391" s="20"/>
      <c r="P1391" s="20"/>
    </row>
    <row r="1392" customFormat="false" ht="14.25" hidden="false" customHeight="true" outlineLevel="0" collapsed="false">
      <c r="A1392" s="3" t="s">
        <v>1259</v>
      </c>
      <c r="B1392" s="3" t="s">
        <v>1260</v>
      </c>
      <c r="C1392" s="3" t="n">
        <v>226014</v>
      </c>
      <c r="D1392" s="3" t="s">
        <v>1269</v>
      </c>
      <c r="E1392" s="18" t="n">
        <v>45112</v>
      </c>
      <c r="F1392" s="3" t="s">
        <v>1262</v>
      </c>
      <c r="G1392" s="3" t="s">
        <v>5</v>
      </c>
      <c r="H1392" s="19"/>
      <c r="I1392" s="19"/>
      <c r="J1392" s="20"/>
      <c r="K1392" s="20"/>
      <c r="L1392" s="19"/>
      <c r="M1392" s="19"/>
      <c r="N1392" s="19"/>
      <c r="O1392" s="20"/>
      <c r="P1392" s="20"/>
    </row>
    <row r="1393" customFormat="false" ht="14.25" hidden="false" customHeight="true" outlineLevel="0" collapsed="false">
      <c r="A1393" s="3" t="s">
        <v>1259</v>
      </c>
      <c r="B1393" s="3" t="s">
        <v>1260</v>
      </c>
      <c r="C1393" s="3" t="n">
        <v>226014</v>
      </c>
      <c r="D1393" s="3" t="s">
        <v>1270</v>
      </c>
      <c r="E1393" s="18" t="n">
        <v>45119</v>
      </c>
      <c r="F1393" s="3" t="s">
        <v>1262</v>
      </c>
      <c r="G1393" s="3" t="s">
        <v>5</v>
      </c>
      <c r="H1393" s="19"/>
      <c r="I1393" s="19"/>
      <c r="J1393" s="20"/>
      <c r="K1393" s="20"/>
      <c r="L1393" s="19"/>
      <c r="M1393" s="19"/>
      <c r="N1393" s="19"/>
      <c r="O1393" s="20"/>
      <c r="P1393" s="20"/>
    </row>
    <row r="1394" customFormat="false" ht="14.25" hidden="false" customHeight="true" outlineLevel="0" collapsed="false">
      <c r="A1394" s="3" t="s">
        <v>1259</v>
      </c>
      <c r="B1394" s="3" t="s">
        <v>1260</v>
      </c>
      <c r="C1394" s="3" t="n">
        <v>226014</v>
      </c>
      <c r="D1394" s="3" t="s">
        <v>1271</v>
      </c>
      <c r="E1394" s="18" t="n">
        <v>45126</v>
      </c>
      <c r="F1394" s="3" t="s">
        <v>1262</v>
      </c>
      <c r="G1394" s="3" t="s">
        <v>5</v>
      </c>
      <c r="H1394" s="19"/>
      <c r="I1394" s="19"/>
      <c r="J1394" s="20"/>
      <c r="K1394" s="20"/>
      <c r="L1394" s="19"/>
      <c r="M1394" s="19"/>
      <c r="N1394" s="19"/>
      <c r="O1394" s="20"/>
      <c r="P1394" s="20"/>
    </row>
    <row r="1395" customFormat="false" ht="14.25" hidden="false" customHeight="true" outlineLevel="0" collapsed="false">
      <c r="A1395" s="3" t="s">
        <v>1259</v>
      </c>
      <c r="B1395" s="3" t="s">
        <v>1260</v>
      </c>
      <c r="C1395" s="3" t="n">
        <v>226014</v>
      </c>
      <c r="D1395" s="3" t="s">
        <v>1272</v>
      </c>
      <c r="E1395" s="18" t="n">
        <v>45128</v>
      </c>
      <c r="F1395" s="3" t="s">
        <v>1262</v>
      </c>
      <c r="G1395" s="3" t="s">
        <v>5</v>
      </c>
      <c r="H1395" s="19"/>
      <c r="I1395" s="19"/>
      <c r="J1395" s="20"/>
      <c r="K1395" s="20"/>
      <c r="L1395" s="19"/>
      <c r="M1395" s="19"/>
      <c r="N1395" s="19"/>
      <c r="O1395" s="20"/>
      <c r="P1395" s="20"/>
    </row>
    <row r="1396" customFormat="false" ht="14.25" hidden="false" customHeight="true" outlineLevel="0" collapsed="false">
      <c r="A1396" s="3" t="s">
        <v>1259</v>
      </c>
      <c r="B1396" s="3" t="s">
        <v>1260</v>
      </c>
      <c r="C1396" s="3" t="n">
        <v>226014</v>
      </c>
      <c r="D1396" s="3" t="s">
        <v>1273</v>
      </c>
      <c r="E1396" s="18" t="n">
        <v>45140</v>
      </c>
      <c r="F1396" s="3" t="s">
        <v>1262</v>
      </c>
      <c r="G1396" s="3" t="s">
        <v>5</v>
      </c>
      <c r="H1396" s="19"/>
      <c r="I1396" s="19"/>
      <c r="J1396" s="20"/>
      <c r="K1396" s="20"/>
      <c r="L1396" s="19"/>
      <c r="M1396" s="19"/>
      <c r="N1396" s="19"/>
      <c r="O1396" s="20"/>
      <c r="P1396" s="20"/>
    </row>
    <row r="1397" customFormat="false" ht="14.25" hidden="false" customHeight="true" outlineLevel="0" collapsed="false">
      <c r="A1397" s="3" t="s">
        <v>1259</v>
      </c>
      <c r="B1397" s="3" t="s">
        <v>1260</v>
      </c>
      <c r="C1397" s="3" t="n">
        <v>226014</v>
      </c>
      <c r="D1397" s="3" t="s">
        <v>1276</v>
      </c>
      <c r="E1397" s="18" t="n">
        <v>45155</v>
      </c>
      <c r="F1397" s="3" t="s">
        <v>1262</v>
      </c>
      <c r="G1397" s="3" t="s">
        <v>5</v>
      </c>
      <c r="H1397" s="19"/>
      <c r="I1397" s="19"/>
      <c r="J1397" s="20"/>
      <c r="K1397" s="20"/>
      <c r="L1397" s="19"/>
      <c r="M1397" s="19"/>
      <c r="N1397" s="19"/>
      <c r="O1397" s="20"/>
      <c r="P1397" s="20"/>
    </row>
    <row r="1398" customFormat="false" ht="14.25" hidden="false" customHeight="true" outlineLevel="0" collapsed="false">
      <c r="A1398" s="3" t="s">
        <v>1259</v>
      </c>
      <c r="B1398" s="3" t="s">
        <v>1260</v>
      </c>
      <c r="C1398" s="3" t="n">
        <v>226014</v>
      </c>
      <c r="D1398" s="3" t="s">
        <v>1277</v>
      </c>
      <c r="E1398" s="18" t="n">
        <v>45168</v>
      </c>
      <c r="F1398" s="3" t="s">
        <v>1262</v>
      </c>
      <c r="G1398" s="3" t="s">
        <v>5</v>
      </c>
      <c r="H1398" s="19"/>
      <c r="I1398" s="19"/>
      <c r="J1398" s="20"/>
      <c r="K1398" s="20"/>
      <c r="L1398" s="19"/>
      <c r="M1398" s="19"/>
      <c r="N1398" s="19"/>
      <c r="O1398" s="20"/>
      <c r="P1398" s="20"/>
    </row>
    <row r="1399" customFormat="false" ht="14.25" hidden="false" customHeight="true" outlineLevel="0" collapsed="false">
      <c r="A1399" s="3" t="s">
        <v>1259</v>
      </c>
      <c r="B1399" s="3" t="s">
        <v>1260</v>
      </c>
      <c r="C1399" s="3" t="n">
        <v>226014</v>
      </c>
      <c r="D1399" s="3" t="s">
        <v>1503</v>
      </c>
      <c r="E1399" s="18" t="n">
        <v>45176</v>
      </c>
      <c r="F1399" s="3" t="s">
        <v>1262</v>
      </c>
      <c r="G1399" s="3" t="s">
        <v>1275</v>
      </c>
      <c r="H1399" s="19"/>
      <c r="I1399" s="19"/>
      <c r="J1399" s="20"/>
      <c r="K1399" s="20"/>
      <c r="L1399" s="19"/>
      <c r="M1399" s="19"/>
      <c r="N1399" s="19"/>
      <c r="O1399" s="20"/>
      <c r="P1399" s="20"/>
    </row>
    <row r="1400" customFormat="false" ht="14.25" hidden="false" customHeight="true" outlineLevel="0" collapsed="false">
      <c r="A1400" s="3" t="s">
        <v>1259</v>
      </c>
      <c r="B1400" s="3" t="s">
        <v>1260</v>
      </c>
      <c r="C1400" s="3" t="n">
        <v>226014</v>
      </c>
      <c r="D1400" s="3" t="s">
        <v>1278</v>
      </c>
      <c r="E1400" s="18" t="n">
        <v>45182</v>
      </c>
      <c r="F1400" s="3" t="s">
        <v>1262</v>
      </c>
      <c r="G1400" s="3" t="s">
        <v>5</v>
      </c>
      <c r="H1400" s="19"/>
      <c r="I1400" s="19"/>
      <c r="J1400" s="20"/>
      <c r="K1400" s="20"/>
      <c r="L1400" s="19"/>
      <c r="M1400" s="19"/>
      <c r="N1400" s="19"/>
      <c r="O1400" s="20"/>
      <c r="P1400" s="20"/>
    </row>
    <row r="1401" customFormat="false" ht="14.25" hidden="false" customHeight="true" outlineLevel="0" collapsed="false">
      <c r="A1401" s="3" t="s">
        <v>1259</v>
      </c>
      <c r="B1401" s="3" t="s">
        <v>1260</v>
      </c>
      <c r="C1401" s="3" t="n">
        <v>226014</v>
      </c>
      <c r="D1401" s="3" t="s">
        <v>1279</v>
      </c>
      <c r="E1401" s="18" t="n">
        <v>45196</v>
      </c>
      <c r="F1401" s="3" t="s">
        <v>1262</v>
      </c>
      <c r="G1401" s="3" t="s">
        <v>5</v>
      </c>
      <c r="H1401" s="19"/>
      <c r="I1401" s="19"/>
      <c r="J1401" s="20"/>
      <c r="K1401" s="20"/>
      <c r="L1401" s="19"/>
      <c r="M1401" s="19"/>
      <c r="N1401" s="19"/>
      <c r="O1401" s="20"/>
      <c r="P1401" s="20"/>
    </row>
    <row r="1402" customFormat="false" ht="14.25" hidden="false" customHeight="true" outlineLevel="0" collapsed="false">
      <c r="A1402" s="3" t="s">
        <v>1259</v>
      </c>
      <c r="B1402" s="3" t="s">
        <v>1260</v>
      </c>
      <c r="C1402" s="3" t="n">
        <v>226014</v>
      </c>
      <c r="D1402" s="3" t="s">
        <v>1281</v>
      </c>
      <c r="E1402" s="18" t="n">
        <v>45210</v>
      </c>
      <c r="F1402" s="3" t="s">
        <v>1262</v>
      </c>
      <c r="G1402" s="3" t="s">
        <v>5</v>
      </c>
      <c r="H1402" s="19"/>
      <c r="I1402" s="19"/>
      <c r="J1402" s="20"/>
      <c r="K1402" s="20"/>
      <c r="L1402" s="19"/>
      <c r="M1402" s="19"/>
      <c r="N1402" s="19"/>
      <c r="O1402" s="20"/>
      <c r="P1402" s="20"/>
    </row>
    <row r="1403" customFormat="false" ht="14.25" hidden="false" customHeight="true" outlineLevel="0" collapsed="false">
      <c r="A1403" s="3" t="s">
        <v>1259</v>
      </c>
      <c r="B1403" s="3" t="s">
        <v>1260</v>
      </c>
      <c r="C1403" s="3" t="n">
        <v>226014</v>
      </c>
      <c r="D1403" s="3" t="s">
        <v>1504</v>
      </c>
      <c r="E1403" s="18" t="n">
        <v>45210</v>
      </c>
      <c r="F1403" s="3" t="s">
        <v>1262</v>
      </c>
      <c r="G1403" s="3" t="s">
        <v>1275</v>
      </c>
      <c r="H1403" s="19"/>
      <c r="I1403" s="19"/>
      <c r="J1403" s="20"/>
      <c r="K1403" s="20"/>
      <c r="L1403" s="19"/>
      <c r="M1403" s="19"/>
      <c r="N1403" s="19"/>
      <c r="O1403" s="20"/>
      <c r="P1403" s="20"/>
    </row>
    <row r="1404" customFormat="false" ht="14.25" hidden="false" customHeight="true" outlineLevel="0" collapsed="false">
      <c r="A1404" s="3" t="s">
        <v>1259</v>
      </c>
      <c r="B1404" s="3" t="s">
        <v>1260</v>
      </c>
      <c r="C1404" s="3" t="n">
        <v>226014</v>
      </c>
      <c r="D1404" s="3" t="s">
        <v>1282</v>
      </c>
      <c r="E1404" s="18" t="n">
        <v>45225</v>
      </c>
      <c r="F1404" s="3" t="s">
        <v>1262</v>
      </c>
      <c r="G1404" s="3" t="s">
        <v>5</v>
      </c>
      <c r="H1404" s="19"/>
      <c r="I1404" s="19"/>
      <c r="J1404" s="20"/>
      <c r="K1404" s="20"/>
      <c r="L1404" s="19"/>
      <c r="M1404" s="19"/>
      <c r="N1404" s="19"/>
      <c r="O1404" s="20"/>
      <c r="P1404" s="20"/>
    </row>
    <row r="1405" customFormat="false" ht="14.25" hidden="false" customHeight="true" outlineLevel="0" collapsed="false">
      <c r="A1405" s="3" t="s">
        <v>1259</v>
      </c>
      <c r="B1405" s="3" t="s">
        <v>1260</v>
      </c>
      <c r="C1405" s="3" t="n">
        <v>226014</v>
      </c>
      <c r="D1405" s="3" t="s">
        <v>1283</v>
      </c>
      <c r="E1405" s="18" t="n">
        <v>45238</v>
      </c>
      <c r="F1405" s="3" t="s">
        <v>1262</v>
      </c>
      <c r="G1405" s="3" t="s">
        <v>5</v>
      </c>
      <c r="H1405" s="19"/>
      <c r="I1405" s="19"/>
      <c r="J1405" s="20"/>
      <c r="K1405" s="20"/>
      <c r="L1405" s="19"/>
      <c r="M1405" s="19"/>
      <c r="N1405" s="19"/>
      <c r="O1405" s="20"/>
      <c r="P1405" s="20"/>
    </row>
    <row r="1406" customFormat="false" ht="14.25" hidden="false" customHeight="true" outlineLevel="0" collapsed="false">
      <c r="A1406" s="3" t="s">
        <v>1259</v>
      </c>
      <c r="B1406" s="3" t="s">
        <v>1260</v>
      </c>
      <c r="C1406" s="3" t="n">
        <v>226014</v>
      </c>
      <c r="D1406" s="3" t="s">
        <v>1284</v>
      </c>
      <c r="E1406" s="18" t="n">
        <v>45252</v>
      </c>
      <c r="F1406" s="3" t="s">
        <v>1262</v>
      </c>
      <c r="G1406" s="3" t="s">
        <v>5</v>
      </c>
      <c r="H1406" s="19"/>
      <c r="I1406" s="19"/>
      <c r="J1406" s="20"/>
      <c r="K1406" s="20"/>
      <c r="L1406" s="19"/>
      <c r="M1406" s="19"/>
      <c r="N1406" s="19"/>
      <c r="O1406" s="20"/>
      <c r="P1406" s="20"/>
    </row>
    <row r="1407" customFormat="false" ht="14.25" hidden="false" customHeight="true" outlineLevel="0" collapsed="false">
      <c r="A1407" s="3" t="s">
        <v>1259</v>
      </c>
      <c r="B1407" s="3" t="s">
        <v>1260</v>
      </c>
      <c r="C1407" s="3" t="n">
        <v>226014</v>
      </c>
      <c r="D1407" s="3" t="s">
        <v>1286</v>
      </c>
      <c r="E1407" s="18" t="n">
        <v>45265</v>
      </c>
      <c r="F1407" s="3" t="s">
        <v>1262</v>
      </c>
      <c r="G1407" s="3" t="s">
        <v>5</v>
      </c>
      <c r="H1407" s="19"/>
      <c r="I1407" s="19"/>
      <c r="J1407" s="20"/>
      <c r="K1407" s="20"/>
      <c r="L1407" s="19"/>
      <c r="M1407" s="19"/>
      <c r="N1407" s="19"/>
      <c r="O1407" s="20"/>
      <c r="P1407" s="20"/>
    </row>
    <row r="1408" customFormat="false" ht="14.25" hidden="false" customHeight="true" outlineLevel="0" collapsed="false">
      <c r="A1408" s="3" t="s">
        <v>1259</v>
      </c>
      <c r="B1408" s="3" t="s">
        <v>1260</v>
      </c>
      <c r="C1408" s="3" t="n">
        <v>226014</v>
      </c>
      <c r="D1408" s="3" t="s">
        <v>1328</v>
      </c>
      <c r="E1408" s="18" t="n">
        <v>45265</v>
      </c>
      <c r="F1408" s="3" t="s">
        <v>1262</v>
      </c>
      <c r="G1408" s="3" t="s">
        <v>1275</v>
      </c>
      <c r="H1408" s="19"/>
      <c r="I1408" s="19"/>
      <c r="J1408" s="20"/>
      <c r="K1408" s="20"/>
      <c r="L1408" s="19"/>
      <c r="M1408" s="19"/>
      <c r="N1408" s="19"/>
      <c r="O1408" s="20"/>
      <c r="P1408" s="20"/>
    </row>
    <row r="1409" customFormat="false" ht="14.25" hidden="false" customHeight="true" outlineLevel="0" collapsed="false">
      <c r="A1409" s="3" t="s">
        <v>1259</v>
      </c>
      <c r="B1409" s="3" t="s">
        <v>1260</v>
      </c>
      <c r="C1409" s="3" t="n">
        <v>226014</v>
      </c>
      <c r="D1409" s="3" t="s">
        <v>1287</v>
      </c>
      <c r="E1409" s="18" t="n">
        <v>45280</v>
      </c>
      <c r="F1409" s="3" t="s">
        <v>1262</v>
      </c>
      <c r="G1409" s="3" t="s">
        <v>5</v>
      </c>
      <c r="H1409" s="19"/>
      <c r="I1409" s="19"/>
      <c r="J1409" s="20"/>
      <c r="K1409" s="20"/>
      <c r="L1409" s="19"/>
      <c r="M1409" s="19"/>
      <c r="N1409" s="19"/>
      <c r="O1409" s="20"/>
      <c r="P1409" s="20"/>
    </row>
    <row r="1410" customFormat="false" ht="14.25" hidden="false" customHeight="true" outlineLevel="0" collapsed="false">
      <c r="A1410" s="3" t="s">
        <v>1259</v>
      </c>
      <c r="B1410" s="3" t="s">
        <v>1260</v>
      </c>
      <c r="C1410" s="3" t="n">
        <v>226014</v>
      </c>
      <c r="D1410" s="3" t="s">
        <v>1288</v>
      </c>
      <c r="E1410" s="18" t="n">
        <v>45294</v>
      </c>
      <c r="F1410" s="3" t="s">
        <v>1262</v>
      </c>
      <c r="G1410" s="3" t="s">
        <v>5</v>
      </c>
      <c r="H1410" s="19"/>
      <c r="I1410" s="19"/>
      <c r="J1410" s="20"/>
      <c r="K1410" s="20"/>
      <c r="L1410" s="19"/>
      <c r="M1410" s="19"/>
      <c r="N1410" s="19"/>
      <c r="O1410" s="20"/>
      <c r="P1410" s="20"/>
    </row>
    <row r="1411" customFormat="false" ht="14.25" hidden="false" customHeight="true" outlineLevel="0" collapsed="false">
      <c r="A1411" s="3" t="s">
        <v>1259</v>
      </c>
      <c r="B1411" s="3" t="s">
        <v>1260</v>
      </c>
      <c r="C1411" s="3" t="n">
        <v>226014</v>
      </c>
      <c r="D1411" s="3" t="s">
        <v>1289</v>
      </c>
      <c r="E1411" s="18" t="n">
        <v>45308</v>
      </c>
      <c r="F1411" s="3" t="s">
        <v>1262</v>
      </c>
      <c r="G1411" s="3" t="s">
        <v>5</v>
      </c>
      <c r="H1411" s="19"/>
      <c r="I1411" s="19"/>
      <c r="J1411" s="20"/>
      <c r="K1411" s="20"/>
      <c r="L1411" s="19"/>
      <c r="M1411" s="19"/>
      <c r="N1411" s="19"/>
      <c r="O1411" s="20"/>
      <c r="P1411" s="20"/>
    </row>
    <row r="1412" customFormat="false" ht="14.25" hidden="false" customHeight="true" outlineLevel="0" collapsed="false">
      <c r="A1412" s="3" t="s">
        <v>1259</v>
      </c>
      <c r="B1412" s="3" t="s">
        <v>1260</v>
      </c>
      <c r="C1412" s="3" t="n">
        <v>226014</v>
      </c>
      <c r="D1412" s="3" t="s">
        <v>1290</v>
      </c>
      <c r="E1412" s="18" t="n">
        <v>45322</v>
      </c>
      <c r="F1412" s="3" t="s">
        <v>1262</v>
      </c>
      <c r="G1412" s="3" t="s">
        <v>5</v>
      </c>
      <c r="H1412" s="19"/>
      <c r="I1412" s="19"/>
      <c r="J1412" s="20"/>
      <c r="K1412" s="20"/>
      <c r="L1412" s="19"/>
      <c r="M1412" s="19"/>
      <c r="N1412" s="19"/>
      <c r="O1412" s="20"/>
      <c r="P1412" s="20"/>
    </row>
    <row r="1413" customFormat="false" ht="14.25" hidden="false" customHeight="true" outlineLevel="0" collapsed="false">
      <c r="A1413" s="3" t="s">
        <v>1259</v>
      </c>
      <c r="B1413" s="3" t="s">
        <v>1260</v>
      </c>
      <c r="C1413" s="3" t="n">
        <v>226014</v>
      </c>
      <c r="D1413" s="3" t="s">
        <v>1433</v>
      </c>
      <c r="E1413" s="18" t="n">
        <v>45322</v>
      </c>
      <c r="F1413" s="3" t="s">
        <v>1262</v>
      </c>
      <c r="G1413" s="3" t="s">
        <v>1275</v>
      </c>
      <c r="H1413" s="19"/>
      <c r="I1413" s="19"/>
      <c r="J1413" s="20"/>
      <c r="K1413" s="20"/>
      <c r="L1413" s="19"/>
      <c r="M1413" s="19"/>
      <c r="N1413" s="19"/>
      <c r="O1413" s="20"/>
      <c r="P1413" s="20"/>
    </row>
    <row r="1414" customFormat="false" ht="14.25" hidden="false" customHeight="true" outlineLevel="0" collapsed="false">
      <c r="A1414" s="3" t="s">
        <v>1259</v>
      </c>
      <c r="B1414" s="3" t="s">
        <v>1260</v>
      </c>
      <c r="C1414" s="3" t="n">
        <v>226014</v>
      </c>
      <c r="D1414" s="3" t="s">
        <v>1292</v>
      </c>
      <c r="E1414" s="18" t="n">
        <v>45335</v>
      </c>
      <c r="F1414" s="3" t="s">
        <v>1262</v>
      </c>
      <c r="G1414" s="3" t="s">
        <v>5</v>
      </c>
      <c r="H1414" s="19"/>
      <c r="I1414" s="19"/>
      <c r="J1414" s="20"/>
      <c r="K1414" s="20"/>
      <c r="L1414" s="19"/>
      <c r="M1414" s="19"/>
      <c r="N1414" s="19"/>
      <c r="O1414" s="20"/>
      <c r="P1414" s="20"/>
    </row>
    <row r="1415" customFormat="false" ht="14.25" hidden="false" customHeight="true" outlineLevel="0" collapsed="false">
      <c r="A1415" s="3" t="s">
        <v>1259</v>
      </c>
      <c r="B1415" s="3" t="s">
        <v>1260</v>
      </c>
      <c r="C1415" s="3" t="n">
        <v>226014</v>
      </c>
      <c r="D1415" s="3" t="s">
        <v>1293</v>
      </c>
      <c r="E1415" s="18" t="n">
        <v>45350</v>
      </c>
      <c r="F1415" s="3" t="s">
        <v>1262</v>
      </c>
      <c r="G1415" s="3" t="s">
        <v>5</v>
      </c>
      <c r="H1415" s="19"/>
      <c r="I1415" s="19"/>
      <c r="J1415" s="20"/>
      <c r="K1415" s="20"/>
      <c r="L1415" s="19"/>
      <c r="M1415" s="19"/>
      <c r="N1415" s="19"/>
      <c r="O1415" s="20"/>
      <c r="P1415" s="20"/>
    </row>
    <row r="1416" customFormat="false" ht="14.25" hidden="false" customHeight="true" outlineLevel="0" collapsed="false">
      <c r="A1416" s="3" t="s">
        <v>1259</v>
      </c>
      <c r="B1416" s="3" t="s">
        <v>1260</v>
      </c>
      <c r="C1416" s="3" t="n">
        <v>226014</v>
      </c>
      <c r="D1416" s="3" t="s">
        <v>1294</v>
      </c>
      <c r="E1416" s="18" t="n">
        <v>45364</v>
      </c>
      <c r="F1416" s="3" t="s">
        <v>1262</v>
      </c>
      <c r="G1416" s="3" t="s">
        <v>5</v>
      </c>
      <c r="H1416" s="19"/>
      <c r="I1416" s="19"/>
      <c r="J1416" s="20"/>
      <c r="K1416" s="20"/>
      <c r="L1416" s="19"/>
      <c r="M1416" s="19"/>
      <c r="N1416" s="19"/>
      <c r="O1416" s="20"/>
      <c r="P1416" s="20"/>
    </row>
    <row r="1417" customFormat="false" ht="14.25" hidden="false" customHeight="true" outlineLevel="0" collapsed="false">
      <c r="A1417" s="3" t="s">
        <v>1259</v>
      </c>
      <c r="B1417" s="3" t="s">
        <v>1260</v>
      </c>
      <c r="C1417" s="3" t="n">
        <v>226014</v>
      </c>
      <c r="D1417" s="3" t="s">
        <v>1295</v>
      </c>
      <c r="E1417" s="18" t="n">
        <v>45378</v>
      </c>
      <c r="F1417" s="3" t="s">
        <v>1262</v>
      </c>
      <c r="G1417" s="3" t="s">
        <v>5</v>
      </c>
      <c r="H1417" s="19"/>
      <c r="I1417" s="19"/>
      <c r="J1417" s="20"/>
      <c r="K1417" s="20"/>
      <c r="L1417" s="19"/>
      <c r="M1417" s="19"/>
      <c r="N1417" s="19"/>
      <c r="O1417" s="20"/>
      <c r="P1417" s="20"/>
    </row>
    <row r="1418" customFormat="false" ht="14.25" hidden="false" customHeight="true" outlineLevel="0" collapsed="false">
      <c r="A1418" s="3" t="s">
        <v>1259</v>
      </c>
      <c r="B1418" s="3" t="s">
        <v>1260</v>
      </c>
      <c r="C1418" s="3" t="n">
        <v>226014</v>
      </c>
      <c r="D1418" s="3" t="s">
        <v>1415</v>
      </c>
      <c r="E1418" s="18" t="n">
        <v>45378</v>
      </c>
      <c r="F1418" s="3" t="s">
        <v>1262</v>
      </c>
      <c r="G1418" s="3" t="s">
        <v>1275</v>
      </c>
      <c r="H1418" s="19"/>
      <c r="I1418" s="19"/>
      <c r="J1418" s="20"/>
      <c r="K1418" s="20"/>
      <c r="L1418" s="19"/>
      <c r="M1418" s="19"/>
      <c r="N1418" s="19"/>
      <c r="O1418" s="20"/>
      <c r="P1418" s="20"/>
    </row>
    <row r="1419" customFormat="false" ht="14.25" hidden="false" customHeight="true" outlineLevel="0" collapsed="false">
      <c r="A1419" s="3" t="s">
        <v>1259</v>
      </c>
      <c r="B1419" s="3" t="s">
        <v>1260</v>
      </c>
      <c r="C1419" s="3" t="n">
        <v>226014</v>
      </c>
      <c r="D1419" s="3" t="s">
        <v>1297</v>
      </c>
      <c r="E1419" s="18" t="n">
        <v>45391</v>
      </c>
      <c r="F1419" s="3" t="s">
        <v>1262</v>
      </c>
      <c r="G1419" s="3" t="s">
        <v>5</v>
      </c>
      <c r="H1419" s="19"/>
      <c r="I1419" s="19"/>
      <c r="J1419" s="20"/>
      <c r="K1419" s="20"/>
      <c r="L1419" s="19"/>
      <c r="M1419" s="19"/>
      <c r="N1419" s="19"/>
      <c r="O1419" s="20"/>
      <c r="P1419" s="20"/>
    </row>
    <row r="1420" customFormat="false" ht="14.25" hidden="false" customHeight="true" outlineLevel="0" collapsed="false">
      <c r="A1420" s="3" t="s">
        <v>1259</v>
      </c>
      <c r="B1420" s="3" t="s">
        <v>1260</v>
      </c>
      <c r="C1420" s="3" t="n">
        <v>226014</v>
      </c>
      <c r="D1420" s="3" t="s">
        <v>1298</v>
      </c>
      <c r="E1420" s="18" t="n">
        <v>45405</v>
      </c>
      <c r="F1420" s="3" t="s">
        <v>1262</v>
      </c>
      <c r="G1420" s="3" t="s">
        <v>5</v>
      </c>
      <c r="H1420" s="19"/>
      <c r="I1420" s="19"/>
      <c r="J1420" s="20"/>
      <c r="K1420" s="20"/>
      <c r="L1420" s="19"/>
      <c r="M1420" s="19"/>
      <c r="N1420" s="19"/>
      <c r="O1420" s="20"/>
      <c r="P1420" s="20"/>
    </row>
    <row r="1421" customFormat="false" ht="14.25" hidden="false" customHeight="true" outlineLevel="0" collapsed="false">
      <c r="A1421" s="3" t="s">
        <v>1259</v>
      </c>
      <c r="B1421" s="3" t="s">
        <v>1260</v>
      </c>
      <c r="C1421" s="3" t="n">
        <v>226014</v>
      </c>
      <c r="D1421" s="3" t="s">
        <v>1299</v>
      </c>
      <c r="E1421" s="18" t="n">
        <v>45419</v>
      </c>
      <c r="F1421" s="3" t="s">
        <v>1262</v>
      </c>
      <c r="G1421" s="3" t="s">
        <v>5</v>
      </c>
      <c r="H1421" s="19"/>
      <c r="I1421" s="19"/>
      <c r="J1421" s="20"/>
      <c r="K1421" s="20"/>
      <c r="L1421" s="19"/>
      <c r="M1421" s="19"/>
      <c r="N1421" s="19"/>
      <c r="O1421" s="20"/>
      <c r="P1421" s="20"/>
    </row>
    <row r="1422" customFormat="false" ht="14.25" hidden="false" customHeight="true" outlineLevel="0" collapsed="false">
      <c r="A1422" s="3" t="s">
        <v>1259</v>
      </c>
      <c r="B1422" s="3" t="s">
        <v>1260</v>
      </c>
      <c r="C1422" s="3" t="n">
        <v>226014</v>
      </c>
      <c r="D1422" s="3" t="s">
        <v>1488</v>
      </c>
      <c r="F1422" s="3" t="s">
        <v>1262</v>
      </c>
      <c r="G1422" s="3" t="s">
        <v>5</v>
      </c>
      <c r="H1422" s="19"/>
      <c r="I1422" s="19"/>
      <c r="J1422" s="20"/>
      <c r="K1422" s="20"/>
      <c r="L1422" s="19"/>
      <c r="M1422" s="19"/>
      <c r="N1422" s="19"/>
      <c r="O1422" s="20"/>
      <c r="P1422" s="20"/>
    </row>
    <row r="1423" customFormat="false" ht="14.25" hidden="false" customHeight="true" outlineLevel="0" collapsed="false">
      <c r="A1423" s="3" t="s">
        <v>1259</v>
      </c>
      <c r="B1423" s="3" t="s">
        <v>1260</v>
      </c>
      <c r="C1423" s="3" t="n">
        <v>226014</v>
      </c>
      <c r="D1423" s="3" t="s">
        <v>1489</v>
      </c>
      <c r="F1423" s="3" t="s">
        <v>1262</v>
      </c>
      <c r="G1423" s="3" t="s">
        <v>5</v>
      </c>
      <c r="H1423" s="19"/>
      <c r="I1423" s="19"/>
      <c r="J1423" s="20"/>
      <c r="K1423" s="20"/>
      <c r="L1423" s="19"/>
      <c r="M1423" s="19"/>
      <c r="N1423" s="19"/>
      <c r="O1423" s="20"/>
      <c r="P1423" s="20"/>
    </row>
    <row r="1424" customFormat="false" ht="14.25" hidden="false" customHeight="true" outlineLevel="0" collapsed="false">
      <c r="A1424" s="3" t="s">
        <v>1259</v>
      </c>
      <c r="B1424" s="3" t="s">
        <v>1260</v>
      </c>
      <c r="C1424" s="3" t="n">
        <v>226014</v>
      </c>
      <c r="D1424" s="3" t="s">
        <v>1490</v>
      </c>
      <c r="F1424" s="3" t="s">
        <v>1262</v>
      </c>
      <c r="G1424" s="3" t="s">
        <v>5</v>
      </c>
      <c r="H1424" s="19"/>
      <c r="I1424" s="19"/>
      <c r="J1424" s="20"/>
      <c r="K1424" s="20"/>
      <c r="L1424" s="19"/>
      <c r="M1424" s="19"/>
      <c r="N1424" s="19"/>
      <c r="O1424" s="20"/>
      <c r="P1424" s="20"/>
    </row>
    <row r="1425" customFormat="false" ht="14.25" hidden="false" customHeight="true" outlineLevel="0" collapsed="false">
      <c r="A1425" s="3" t="s">
        <v>1259</v>
      </c>
      <c r="B1425" s="3" t="s">
        <v>1260</v>
      </c>
      <c r="C1425" s="3" t="n">
        <v>226019</v>
      </c>
      <c r="D1425" s="3" t="s">
        <v>1261</v>
      </c>
      <c r="E1425" s="18" t="n">
        <v>45085</v>
      </c>
      <c r="F1425" s="3" t="s">
        <v>1262</v>
      </c>
      <c r="G1425" s="3" t="s">
        <v>5</v>
      </c>
      <c r="H1425" s="19" t="n">
        <v>45085</v>
      </c>
      <c r="I1425" s="19" t="n">
        <v>44957</v>
      </c>
      <c r="J1425" s="20" t="n">
        <v>76</v>
      </c>
      <c r="K1425" s="20" t="s">
        <v>1313</v>
      </c>
      <c r="L1425" s="19" t="s">
        <v>12</v>
      </c>
      <c r="M1425" s="19"/>
      <c r="N1425" s="19"/>
      <c r="O1425" s="20"/>
      <c r="P1425" s="20"/>
    </row>
    <row r="1426" customFormat="false" ht="14.25" hidden="false" customHeight="true" outlineLevel="0" collapsed="false">
      <c r="A1426" s="3" t="s">
        <v>1259</v>
      </c>
      <c r="B1426" s="3" t="s">
        <v>1260</v>
      </c>
      <c r="C1426" s="3" t="n">
        <v>226019</v>
      </c>
      <c r="D1426" s="3" t="s">
        <v>1264</v>
      </c>
      <c r="E1426" s="18" t="n">
        <v>45097</v>
      </c>
      <c r="F1426" s="3" t="s">
        <v>1262</v>
      </c>
      <c r="G1426" s="3" t="s">
        <v>5</v>
      </c>
      <c r="H1426" s="19"/>
      <c r="I1426" s="19"/>
      <c r="J1426" s="20"/>
      <c r="K1426" s="20"/>
      <c r="L1426" s="19"/>
      <c r="M1426" s="19"/>
      <c r="N1426" s="19"/>
      <c r="O1426" s="20"/>
      <c r="P1426" s="20"/>
    </row>
    <row r="1427" customFormat="false" ht="14.25" hidden="false" customHeight="true" outlineLevel="0" collapsed="false">
      <c r="A1427" s="3" t="s">
        <v>1259</v>
      </c>
      <c r="B1427" s="3" t="s">
        <v>1260</v>
      </c>
      <c r="C1427" s="3" t="n">
        <v>226019</v>
      </c>
      <c r="D1427" s="3" t="s">
        <v>1265</v>
      </c>
      <c r="E1427" s="18" t="n">
        <v>45099</v>
      </c>
      <c r="F1427" s="3" t="s">
        <v>1262</v>
      </c>
      <c r="G1427" s="3" t="s">
        <v>5</v>
      </c>
      <c r="H1427" s="19"/>
      <c r="I1427" s="19"/>
      <c r="J1427" s="20"/>
      <c r="K1427" s="20"/>
      <c r="L1427" s="19"/>
      <c r="M1427" s="19"/>
      <c r="N1427" s="19"/>
      <c r="O1427" s="20"/>
      <c r="P1427" s="20"/>
    </row>
    <row r="1428" customFormat="false" ht="14.25" hidden="false" customHeight="true" outlineLevel="0" collapsed="false">
      <c r="A1428" s="3" t="s">
        <v>1259</v>
      </c>
      <c r="B1428" s="3" t="s">
        <v>1260</v>
      </c>
      <c r="C1428" s="3" t="n">
        <v>226019</v>
      </c>
      <c r="D1428" s="3" t="s">
        <v>1266</v>
      </c>
      <c r="E1428" s="18" t="n">
        <v>45104</v>
      </c>
      <c r="F1428" s="3" t="s">
        <v>1262</v>
      </c>
      <c r="G1428" s="3" t="s">
        <v>5</v>
      </c>
      <c r="H1428" s="19"/>
      <c r="I1428" s="19"/>
      <c r="J1428" s="20"/>
      <c r="K1428" s="20"/>
      <c r="L1428" s="19"/>
      <c r="M1428" s="19"/>
      <c r="N1428" s="19"/>
      <c r="O1428" s="20"/>
      <c r="P1428" s="20"/>
    </row>
    <row r="1429" customFormat="false" ht="14.25" hidden="false" customHeight="true" outlineLevel="0" collapsed="false">
      <c r="A1429" s="3" t="s">
        <v>1259</v>
      </c>
      <c r="B1429" s="3" t="s">
        <v>1260</v>
      </c>
      <c r="C1429" s="3" t="n">
        <v>226019</v>
      </c>
      <c r="D1429" s="3" t="s">
        <v>1269</v>
      </c>
      <c r="E1429" s="18" t="n">
        <v>45111</v>
      </c>
      <c r="F1429" s="3" t="s">
        <v>1262</v>
      </c>
      <c r="G1429" s="3" t="s">
        <v>5</v>
      </c>
      <c r="H1429" s="19"/>
      <c r="I1429" s="19"/>
      <c r="J1429" s="20"/>
      <c r="K1429" s="20"/>
      <c r="L1429" s="19"/>
      <c r="M1429" s="19"/>
      <c r="N1429" s="19"/>
      <c r="O1429" s="20"/>
      <c r="P1429" s="20"/>
    </row>
    <row r="1430" customFormat="false" ht="14.25" hidden="false" customHeight="true" outlineLevel="0" collapsed="false">
      <c r="A1430" s="3" t="s">
        <v>1259</v>
      </c>
      <c r="B1430" s="3" t="s">
        <v>1260</v>
      </c>
      <c r="C1430" s="3" t="n">
        <v>226019</v>
      </c>
      <c r="D1430" s="3" t="s">
        <v>1270</v>
      </c>
      <c r="E1430" s="18" t="n">
        <v>45118</v>
      </c>
      <c r="F1430" s="3" t="s">
        <v>1262</v>
      </c>
      <c r="G1430" s="3" t="s">
        <v>5</v>
      </c>
      <c r="H1430" s="19"/>
      <c r="I1430" s="19"/>
      <c r="J1430" s="20"/>
      <c r="K1430" s="20"/>
      <c r="L1430" s="19"/>
      <c r="M1430" s="19"/>
      <c r="N1430" s="19"/>
      <c r="O1430" s="20"/>
      <c r="P1430" s="20"/>
    </row>
    <row r="1431" customFormat="false" ht="14.25" hidden="false" customHeight="true" outlineLevel="0" collapsed="false">
      <c r="A1431" s="3" t="s">
        <v>1259</v>
      </c>
      <c r="B1431" s="3" t="s">
        <v>1260</v>
      </c>
      <c r="C1431" s="3" t="n">
        <v>226019</v>
      </c>
      <c r="D1431" s="3" t="s">
        <v>1271</v>
      </c>
      <c r="E1431" s="18" t="n">
        <v>45125</v>
      </c>
      <c r="F1431" s="3" t="s">
        <v>1262</v>
      </c>
      <c r="G1431" s="3" t="s">
        <v>5</v>
      </c>
      <c r="H1431" s="19"/>
      <c r="I1431" s="19"/>
      <c r="J1431" s="20"/>
      <c r="K1431" s="20"/>
      <c r="L1431" s="19"/>
      <c r="M1431" s="19"/>
      <c r="N1431" s="19"/>
      <c r="O1431" s="20"/>
      <c r="P1431" s="20"/>
    </row>
    <row r="1432" customFormat="false" ht="14.25" hidden="false" customHeight="true" outlineLevel="0" collapsed="false">
      <c r="A1432" s="3" t="s">
        <v>1259</v>
      </c>
      <c r="B1432" s="3" t="s">
        <v>1260</v>
      </c>
      <c r="C1432" s="3" t="n">
        <v>226019</v>
      </c>
      <c r="D1432" s="3" t="s">
        <v>1272</v>
      </c>
      <c r="E1432" s="18" t="n">
        <v>45127</v>
      </c>
      <c r="F1432" s="3" t="s">
        <v>1262</v>
      </c>
      <c r="G1432" s="3" t="s">
        <v>5</v>
      </c>
      <c r="H1432" s="19"/>
      <c r="I1432" s="19"/>
      <c r="J1432" s="20"/>
      <c r="K1432" s="20"/>
      <c r="L1432" s="19"/>
      <c r="M1432" s="19"/>
      <c r="N1432" s="19"/>
      <c r="O1432" s="20"/>
      <c r="P1432" s="20"/>
    </row>
    <row r="1433" customFormat="false" ht="14.25" hidden="false" customHeight="true" outlineLevel="0" collapsed="false">
      <c r="A1433" s="3" t="s">
        <v>1259</v>
      </c>
      <c r="B1433" s="3" t="s">
        <v>1260</v>
      </c>
      <c r="C1433" s="3" t="n">
        <v>226019</v>
      </c>
      <c r="D1433" s="3" t="s">
        <v>1273</v>
      </c>
      <c r="E1433" s="18" t="n">
        <v>45139</v>
      </c>
      <c r="F1433" s="3" t="s">
        <v>1262</v>
      </c>
      <c r="G1433" s="3" t="s">
        <v>5</v>
      </c>
      <c r="H1433" s="19"/>
      <c r="I1433" s="19"/>
      <c r="J1433" s="20"/>
      <c r="K1433" s="20"/>
      <c r="L1433" s="19"/>
      <c r="M1433" s="19"/>
      <c r="N1433" s="19"/>
      <c r="O1433" s="20"/>
      <c r="P1433" s="20"/>
    </row>
    <row r="1434" customFormat="false" ht="14.25" hidden="false" customHeight="true" outlineLevel="0" collapsed="false">
      <c r="A1434" s="3" t="s">
        <v>1259</v>
      </c>
      <c r="B1434" s="3" t="s">
        <v>1260</v>
      </c>
      <c r="C1434" s="3" t="n">
        <v>226019</v>
      </c>
      <c r="D1434" s="3" t="s">
        <v>1276</v>
      </c>
      <c r="E1434" s="18" t="n">
        <v>45155</v>
      </c>
      <c r="F1434" s="3" t="s">
        <v>1262</v>
      </c>
      <c r="G1434" s="3" t="s">
        <v>5</v>
      </c>
      <c r="H1434" s="19"/>
      <c r="I1434" s="19"/>
      <c r="J1434" s="20"/>
      <c r="K1434" s="20"/>
      <c r="L1434" s="19"/>
      <c r="M1434" s="19"/>
      <c r="N1434" s="19"/>
      <c r="O1434" s="20"/>
      <c r="P1434" s="20"/>
    </row>
    <row r="1435" customFormat="false" ht="14.25" hidden="false" customHeight="true" outlineLevel="0" collapsed="false">
      <c r="A1435" s="3" t="s">
        <v>1259</v>
      </c>
      <c r="B1435" s="3" t="s">
        <v>1260</v>
      </c>
      <c r="C1435" s="3" t="n">
        <v>226019</v>
      </c>
      <c r="D1435" s="3" t="s">
        <v>1505</v>
      </c>
      <c r="E1435" s="18" t="n">
        <v>45156</v>
      </c>
      <c r="F1435" s="3" t="s">
        <v>1262</v>
      </c>
      <c r="G1435" s="3" t="s">
        <v>1275</v>
      </c>
      <c r="H1435" s="19"/>
      <c r="I1435" s="19"/>
      <c r="J1435" s="20"/>
      <c r="K1435" s="20"/>
      <c r="L1435" s="19"/>
      <c r="M1435" s="19"/>
      <c r="N1435" s="19"/>
      <c r="O1435" s="20"/>
      <c r="P1435" s="20"/>
    </row>
    <row r="1436" customFormat="false" ht="14.25" hidden="false" customHeight="true" outlineLevel="0" collapsed="false">
      <c r="A1436" s="3" t="s">
        <v>1259</v>
      </c>
      <c r="B1436" s="3" t="s">
        <v>1260</v>
      </c>
      <c r="C1436" s="3" t="n">
        <v>226019</v>
      </c>
      <c r="D1436" s="3" t="s">
        <v>1277</v>
      </c>
      <c r="E1436" s="18" t="n">
        <v>45167</v>
      </c>
      <c r="F1436" s="3" t="s">
        <v>1262</v>
      </c>
      <c r="G1436" s="3" t="s">
        <v>5</v>
      </c>
      <c r="H1436" s="19"/>
      <c r="I1436" s="19"/>
      <c r="J1436" s="20"/>
      <c r="K1436" s="20"/>
      <c r="L1436" s="19"/>
      <c r="M1436" s="19"/>
      <c r="N1436" s="19"/>
      <c r="O1436" s="20"/>
      <c r="P1436" s="20"/>
    </row>
    <row r="1437" customFormat="false" ht="14.25" hidden="false" customHeight="true" outlineLevel="0" collapsed="false">
      <c r="A1437" s="3" t="s">
        <v>1259</v>
      </c>
      <c r="B1437" s="3" t="s">
        <v>1260</v>
      </c>
      <c r="C1437" s="3" t="n">
        <v>226019</v>
      </c>
      <c r="D1437" s="3" t="s">
        <v>1278</v>
      </c>
      <c r="E1437" s="18" t="n">
        <v>45183</v>
      </c>
      <c r="F1437" s="3" t="s">
        <v>1262</v>
      </c>
      <c r="G1437" s="3" t="s">
        <v>5</v>
      </c>
      <c r="H1437" s="19"/>
      <c r="I1437" s="19"/>
      <c r="J1437" s="20"/>
      <c r="K1437" s="20"/>
      <c r="L1437" s="19"/>
      <c r="M1437" s="19"/>
      <c r="N1437" s="19"/>
      <c r="O1437" s="20"/>
      <c r="P1437" s="20"/>
    </row>
    <row r="1438" customFormat="false" ht="14.25" hidden="false" customHeight="true" outlineLevel="0" collapsed="false">
      <c r="A1438" s="3" t="s">
        <v>1259</v>
      </c>
      <c r="B1438" s="3" t="s">
        <v>1260</v>
      </c>
      <c r="C1438" s="3" t="n">
        <v>226019</v>
      </c>
      <c r="D1438" s="3" t="s">
        <v>1489</v>
      </c>
      <c r="E1438" s="18" t="n">
        <v>45187</v>
      </c>
      <c r="F1438" s="3" t="s">
        <v>1262</v>
      </c>
      <c r="G1438" s="3" t="s">
        <v>5</v>
      </c>
      <c r="H1438" s="19"/>
      <c r="I1438" s="19"/>
      <c r="J1438" s="20"/>
      <c r="K1438" s="20"/>
      <c r="L1438" s="19"/>
      <c r="M1438" s="19"/>
      <c r="N1438" s="19"/>
      <c r="O1438" s="20"/>
      <c r="P1438" s="20"/>
    </row>
    <row r="1439" customFormat="false" ht="14.25" hidden="false" customHeight="true" outlineLevel="0" collapsed="false">
      <c r="A1439" s="3" t="s">
        <v>1259</v>
      </c>
      <c r="B1439" s="3" t="s">
        <v>1260</v>
      </c>
      <c r="C1439" s="3" t="n">
        <v>226019</v>
      </c>
      <c r="D1439" s="3" t="s">
        <v>1490</v>
      </c>
      <c r="E1439" s="18" t="n">
        <v>45190</v>
      </c>
      <c r="F1439" s="3" t="s">
        <v>1262</v>
      </c>
      <c r="G1439" s="3" t="s">
        <v>5</v>
      </c>
      <c r="H1439" s="19"/>
      <c r="I1439" s="19"/>
      <c r="J1439" s="20"/>
      <c r="K1439" s="20"/>
      <c r="L1439" s="19"/>
      <c r="M1439" s="19"/>
      <c r="N1439" s="19"/>
      <c r="O1439" s="20"/>
      <c r="P1439" s="20"/>
    </row>
    <row r="1440" customFormat="false" ht="14.25" hidden="false" customHeight="true" outlineLevel="0" collapsed="false">
      <c r="A1440" s="3" t="s">
        <v>1259</v>
      </c>
      <c r="B1440" s="3" t="s">
        <v>1260</v>
      </c>
      <c r="C1440" s="3" t="n">
        <v>226019</v>
      </c>
      <c r="D1440" s="3" t="s">
        <v>1279</v>
      </c>
      <c r="E1440" s="18" t="n">
        <v>45195</v>
      </c>
      <c r="F1440" s="3" t="s">
        <v>1262</v>
      </c>
      <c r="G1440" s="3" t="s">
        <v>5</v>
      </c>
      <c r="H1440" s="19"/>
      <c r="I1440" s="19"/>
      <c r="J1440" s="20"/>
      <c r="K1440" s="20"/>
      <c r="L1440" s="19"/>
      <c r="M1440" s="19"/>
      <c r="N1440" s="19"/>
      <c r="O1440" s="20"/>
      <c r="P1440" s="20"/>
    </row>
    <row r="1441" customFormat="false" ht="14.25" hidden="false" customHeight="true" outlineLevel="0" collapsed="false">
      <c r="A1441" s="3" t="s">
        <v>1259</v>
      </c>
      <c r="B1441" s="3" t="s">
        <v>1260</v>
      </c>
      <c r="C1441" s="3" t="n">
        <v>226019</v>
      </c>
      <c r="D1441" s="3" t="s">
        <v>1281</v>
      </c>
      <c r="E1441" s="18" t="n">
        <v>45209</v>
      </c>
      <c r="F1441" s="3" t="s">
        <v>1262</v>
      </c>
      <c r="G1441" s="3" t="s">
        <v>5</v>
      </c>
      <c r="H1441" s="19"/>
      <c r="I1441" s="19"/>
      <c r="J1441" s="20"/>
      <c r="K1441" s="20"/>
      <c r="L1441" s="19"/>
      <c r="M1441" s="19"/>
      <c r="N1441" s="19"/>
      <c r="O1441" s="20"/>
      <c r="P1441" s="20"/>
    </row>
    <row r="1442" customFormat="false" ht="14.25" hidden="false" customHeight="true" outlineLevel="0" collapsed="false">
      <c r="A1442" s="3" t="s">
        <v>1259</v>
      </c>
      <c r="B1442" s="3" t="s">
        <v>1260</v>
      </c>
      <c r="C1442" s="3" t="n">
        <v>226019</v>
      </c>
      <c r="D1442" s="3" t="s">
        <v>1504</v>
      </c>
      <c r="E1442" s="18" t="n">
        <v>45210</v>
      </c>
      <c r="F1442" s="3" t="s">
        <v>1262</v>
      </c>
      <c r="G1442" s="3" t="s">
        <v>1275</v>
      </c>
      <c r="H1442" s="19"/>
      <c r="I1442" s="19"/>
      <c r="J1442" s="20"/>
      <c r="K1442" s="20"/>
      <c r="L1442" s="19"/>
      <c r="M1442" s="19"/>
      <c r="N1442" s="19"/>
      <c r="O1442" s="20"/>
      <c r="P1442" s="20"/>
    </row>
    <row r="1443" customFormat="false" ht="14.25" hidden="false" customHeight="true" outlineLevel="0" collapsed="false">
      <c r="A1443" s="3" t="s">
        <v>1259</v>
      </c>
      <c r="B1443" s="3" t="s">
        <v>1260</v>
      </c>
      <c r="C1443" s="3" t="n">
        <v>226019</v>
      </c>
      <c r="D1443" s="3" t="s">
        <v>1282</v>
      </c>
      <c r="E1443" s="18" t="n">
        <v>45223</v>
      </c>
      <c r="F1443" s="3" t="s">
        <v>1262</v>
      </c>
      <c r="G1443" s="3" t="s">
        <v>5</v>
      </c>
      <c r="H1443" s="19"/>
      <c r="I1443" s="19"/>
      <c r="J1443" s="20"/>
      <c r="K1443" s="20"/>
      <c r="L1443" s="19"/>
      <c r="M1443" s="19"/>
      <c r="N1443" s="19"/>
      <c r="O1443" s="20"/>
      <c r="P1443" s="20"/>
    </row>
    <row r="1444" customFormat="false" ht="14.25" hidden="false" customHeight="true" outlineLevel="0" collapsed="false">
      <c r="A1444" s="3" t="s">
        <v>1259</v>
      </c>
      <c r="B1444" s="3" t="s">
        <v>1260</v>
      </c>
      <c r="C1444" s="3" t="n">
        <v>226019</v>
      </c>
      <c r="D1444" s="3" t="s">
        <v>1283</v>
      </c>
      <c r="E1444" s="18" t="n">
        <v>45237</v>
      </c>
      <c r="F1444" s="3" t="s">
        <v>1262</v>
      </c>
      <c r="G1444" s="3" t="s">
        <v>5</v>
      </c>
      <c r="H1444" s="19"/>
      <c r="I1444" s="19"/>
      <c r="J1444" s="20"/>
      <c r="K1444" s="20"/>
      <c r="L1444" s="19"/>
      <c r="M1444" s="19"/>
      <c r="N1444" s="19"/>
      <c r="O1444" s="20"/>
      <c r="P1444" s="20"/>
    </row>
    <row r="1445" customFormat="false" ht="14.25" hidden="false" customHeight="true" outlineLevel="0" collapsed="false">
      <c r="A1445" s="3" t="s">
        <v>1259</v>
      </c>
      <c r="B1445" s="3" t="s">
        <v>1260</v>
      </c>
      <c r="C1445" s="3" t="n">
        <v>226019</v>
      </c>
      <c r="D1445" s="3" t="s">
        <v>1284</v>
      </c>
      <c r="E1445" s="18" t="n">
        <v>45251</v>
      </c>
      <c r="F1445" s="3" t="s">
        <v>1262</v>
      </c>
      <c r="G1445" s="3" t="s">
        <v>5</v>
      </c>
      <c r="H1445" s="19"/>
      <c r="I1445" s="19"/>
      <c r="J1445" s="20"/>
      <c r="K1445" s="20"/>
      <c r="L1445" s="19"/>
      <c r="M1445" s="19"/>
      <c r="N1445" s="19"/>
      <c r="O1445" s="20"/>
      <c r="P1445" s="20"/>
    </row>
    <row r="1446" customFormat="false" ht="14.25" hidden="false" customHeight="true" outlineLevel="0" collapsed="false">
      <c r="A1446" s="3" t="s">
        <v>1259</v>
      </c>
      <c r="B1446" s="3" t="s">
        <v>1260</v>
      </c>
      <c r="C1446" s="3" t="n">
        <v>226019</v>
      </c>
      <c r="D1446" s="3" t="s">
        <v>1296</v>
      </c>
      <c r="E1446" s="18" t="n">
        <v>45258</v>
      </c>
      <c r="F1446" s="3" t="s">
        <v>1262</v>
      </c>
      <c r="G1446" s="3" t="s">
        <v>1275</v>
      </c>
      <c r="H1446" s="19"/>
      <c r="I1446" s="19"/>
      <c r="J1446" s="20"/>
      <c r="K1446" s="20"/>
      <c r="L1446" s="19"/>
      <c r="M1446" s="19"/>
      <c r="N1446" s="19"/>
      <c r="O1446" s="20"/>
      <c r="P1446" s="20"/>
    </row>
    <row r="1447" customFormat="false" ht="14.25" hidden="false" customHeight="true" outlineLevel="0" collapsed="false">
      <c r="A1447" s="3" t="s">
        <v>1259</v>
      </c>
      <c r="B1447" s="3" t="s">
        <v>1260</v>
      </c>
      <c r="C1447" s="3" t="n">
        <v>226019</v>
      </c>
      <c r="D1447" s="3" t="s">
        <v>1286</v>
      </c>
      <c r="E1447" s="18" t="n">
        <v>45265</v>
      </c>
      <c r="F1447" s="3" t="s">
        <v>1262</v>
      </c>
      <c r="G1447" s="3" t="s">
        <v>5</v>
      </c>
      <c r="H1447" s="19"/>
      <c r="I1447" s="19"/>
      <c r="J1447" s="20"/>
      <c r="K1447" s="20"/>
      <c r="L1447" s="19"/>
      <c r="M1447" s="19"/>
      <c r="N1447" s="19"/>
      <c r="O1447" s="20"/>
      <c r="P1447" s="20"/>
    </row>
    <row r="1448" customFormat="false" ht="14.25" hidden="false" customHeight="true" outlineLevel="0" collapsed="false">
      <c r="A1448" s="3" t="s">
        <v>1259</v>
      </c>
      <c r="B1448" s="3" t="s">
        <v>1260</v>
      </c>
      <c r="C1448" s="3" t="n">
        <v>226019</v>
      </c>
      <c r="D1448" s="3" t="s">
        <v>1287</v>
      </c>
      <c r="E1448" s="18" t="n">
        <v>45279</v>
      </c>
      <c r="F1448" s="3" t="s">
        <v>1262</v>
      </c>
      <c r="G1448" s="3" t="s">
        <v>5</v>
      </c>
      <c r="H1448" s="19"/>
      <c r="I1448" s="19"/>
      <c r="J1448" s="20"/>
      <c r="K1448" s="20"/>
      <c r="L1448" s="19"/>
      <c r="M1448" s="19"/>
      <c r="N1448" s="19"/>
      <c r="O1448" s="20"/>
      <c r="P1448" s="20"/>
    </row>
    <row r="1449" customFormat="false" ht="14.25" hidden="false" customHeight="true" outlineLevel="0" collapsed="false">
      <c r="A1449" s="3" t="s">
        <v>1259</v>
      </c>
      <c r="B1449" s="3" t="s">
        <v>1260</v>
      </c>
      <c r="C1449" s="3" t="n">
        <v>226019</v>
      </c>
      <c r="D1449" s="3" t="s">
        <v>1288</v>
      </c>
      <c r="E1449" s="18" t="n">
        <v>45294</v>
      </c>
      <c r="F1449" s="3" t="s">
        <v>1262</v>
      </c>
      <c r="G1449" s="3" t="s">
        <v>5</v>
      </c>
      <c r="H1449" s="19"/>
      <c r="I1449" s="19"/>
      <c r="J1449" s="20"/>
      <c r="K1449" s="20"/>
      <c r="L1449" s="19"/>
      <c r="M1449" s="19"/>
      <c r="N1449" s="19"/>
      <c r="O1449" s="20"/>
      <c r="P1449" s="20"/>
    </row>
    <row r="1450" customFormat="false" ht="14.25" hidden="false" customHeight="true" outlineLevel="0" collapsed="false">
      <c r="A1450" s="3" t="s">
        <v>1259</v>
      </c>
      <c r="B1450" s="3" t="s">
        <v>1260</v>
      </c>
      <c r="C1450" s="3" t="n">
        <v>226019</v>
      </c>
      <c r="D1450" s="3" t="s">
        <v>1289</v>
      </c>
      <c r="E1450" s="18" t="n">
        <v>45307</v>
      </c>
      <c r="F1450" s="3" t="s">
        <v>1262</v>
      </c>
      <c r="G1450" s="3" t="s">
        <v>5</v>
      </c>
      <c r="H1450" s="19"/>
      <c r="I1450" s="19"/>
      <c r="J1450" s="20"/>
      <c r="K1450" s="20"/>
      <c r="L1450" s="19"/>
      <c r="M1450" s="19"/>
      <c r="N1450" s="19"/>
      <c r="O1450" s="20"/>
      <c r="P1450" s="20"/>
    </row>
    <row r="1451" customFormat="false" ht="14.25" hidden="false" customHeight="true" outlineLevel="0" collapsed="false">
      <c r="A1451" s="3" t="s">
        <v>1259</v>
      </c>
      <c r="B1451" s="3" t="s">
        <v>1260</v>
      </c>
      <c r="C1451" s="3" t="n">
        <v>226019</v>
      </c>
      <c r="D1451" s="3" t="s">
        <v>1301</v>
      </c>
      <c r="E1451" s="18" t="n">
        <v>45314</v>
      </c>
      <c r="F1451" s="3" t="s">
        <v>1262</v>
      </c>
      <c r="G1451" s="3" t="s">
        <v>1275</v>
      </c>
      <c r="H1451" s="19"/>
      <c r="I1451" s="19"/>
      <c r="J1451" s="20"/>
      <c r="K1451" s="20"/>
      <c r="L1451" s="19"/>
      <c r="M1451" s="19"/>
      <c r="N1451" s="19"/>
      <c r="O1451" s="20"/>
      <c r="P1451" s="20"/>
    </row>
    <row r="1452" customFormat="false" ht="14.25" hidden="false" customHeight="true" outlineLevel="0" collapsed="false">
      <c r="A1452" s="3" t="s">
        <v>1259</v>
      </c>
      <c r="B1452" s="3" t="s">
        <v>1260</v>
      </c>
      <c r="C1452" s="3" t="n">
        <v>226019</v>
      </c>
      <c r="D1452" s="3" t="s">
        <v>1290</v>
      </c>
      <c r="E1452" s="18" t="n">
        <v>45321</v>
      </c>
      <c r="F1452" s="3" t="s">
        <v>1262</v>
      </c>
      <c r="G1452" s="3" t="s">
        <v>5</v>
      </c>
      <c r="H1452" s="19"/>
      <c r="I1452" s="19"/>
      <c r="J1452" s="20"/>
      <c r="K1452" s="20"/>
      <c r="L1452" s="19"/>
      <c r="M1452" s="19"/>
      <c r="N1452" s="19"/>
      <c r="O1452" s="20"/>
      <c r="P1452" s="20"/>
    </row>
    <row r="1453" customFormat="false" ht="14.25" hidden="false" customHeight="true" outlineLevel="0" collapsed="false">
      <c r="A1453" s="3" t="s">
        <v>1259</v>
      </c>
      <c r="B1453" s="3" t="s">
        <v>1260</v>
      </c>
      <c r="C1453" s="3" t="n">
        <v>226019</v>
      </c>
      <c r="D1453" s="3" t="s">
        <v>1292</v>
      </c>
      <c r="E1453" s="18" t="n">
        <v>45335</v>
      </c>
      <c r="F1453" s="3" t="s">
        <v>1262</v>
      </c>
      <c r="G1453" s="3" t="s">
        <v>5</v>
      </c>
      <c r="H1453" s="19"/>
      <c r="I1453" s="19"/>
      <c r="J1453" s="20"/>
      <c r="K1453" s="20"/>
      <c r="L1453" s="19"/>
      <c r="M1453" s="19"/>
      <c r="N1453" s="19"/>
      <c r="O1453" s="20"/>
      <c r="P1453" s="20"/>
    </row>
    <row r="1454" customFormat="false" ht="14.25" hidden="false" customHeight="true" outlineLevel="0" collapsed="false">
      <c r="A1454" s="3" t="s">
        <v>1259</v>
      </c>
      <c r="B1454" s="3" t="s">
        <v>1260</v>
      </c>
      <c r="C1454" s="3" t="n">
        <v>226019</v>
      </c>
      <c r="D1454" s="3" t="s">
        <v>1293</v>
      </c>
      <c r="E1454" s="18" t="n">
        <v>45349</v>
      </c>
      <c r="F1454" s="3" t="s">
        <v>1262</v>
      </c>
      <c r="G1454" s="3" t="s">
        <v>5</v>
      </c>
      <c r="H1454" s="19"/>
      <c r="I1454" s="19"/>
      <c r="J1454" s="20"/>
      <c r="K1454" s="20"/>
      <c r="L1454" s="19"/>
      <c r="M1454" s="19"/>
      <c r="N1454" s="19"/>
      <c r="O1454" s="20"/>
      <c r="P1454" s="20"/>
    </row>
    <row r="1455" customFormat="false" ht="14.25" hidden="false" customHeight="true" outlineLevel="0" collapsed="false">
      <c r="A1455" s="3" t="s">
        <v>1259</v>
      </c>
      <c r="B1455" s="3" t="s">
        <v>1260</v>
      </c>
      <c r="C1455" s="3" t="n">
        <v>226019</v>
      </c>
      <c r="D1455" s="3" t="s">
        <v>1294</v>
      </c>
      <c r="E1455" s="18" t="n">
        <v>45363</v>
      </c>
      <c r="F1455" s="3" t="s">
        <v>1262</v>
      </c>
      <c r="G1455" s="3" t="s">
        <v>5</v>
      </c>
      <c r="H1455" s="19"/>
      <c r="I1455" s="19"/>
      <c r="J1455" s="20"/>
      <c r="K1455" s="20"/>
      <c r="L1455" s="19"/>
      <c r="M1455" s="19"/>
      <c r="N1455" s="19"/>
      <c r="O1455" s="20"/>
      <c r="P1455" s="20"/>
    </row>
    <row r="1456" customFormat="false" ht="14.25" hidden="false" customHeight="true" outlineLevel="0" collapsed="false">
      <c r="A1456" s="3" t="s">
        <v>1259</v>
      </c>
      <c r="B1456" s="3" t="s">
        <v>1260</v>
      </c>
      <c r="C1456" s="3" t="n">
        <v>226019</v>
      </c>
      <c r="D1456" s="3" t="s">
        <v>1306</v>
      </c>
      <c r="E1456" s="18" t="n">
        <v>45370</v>
      </c>
      <c r="F1456" s="3" t="s">
        <v>1262</v>
      </c>
      <c r="G1456" s="3" t="s">
        <v>1275</v>
      </c>
      <c r="H1456" s="19"/>
      <c r="I1456" s="19"/>
      <c r="J1456" s="20"/>
      <c r="K1456" s="20"/>
      <c r="L1456" s="19"/>
      <c r="M1456" s="19"/>
      <c r="N1456" s="19"/>
      <c r="O1456" s="20"/>
      <c r="P1456" s="20"/>
    </row>
    <row r="1457" customFormat="false" ht="14.25" hidden="false" customHeight="true" outlineLevel="0" collapsed="false">
      <c r="A1457" s="3" t="s">
        <v>1259</v>
      </c>
      <c r="B1457" s="3" t="s">
        <v>1260</v>
      </c>
      <c r="C1457" s="3" t="n">
        <v>226019</v>
      </c>
      <c r="D1457" s="3" t="s">
        <v>1295</v>
      </c>
      <c r="E1457" s="18" t="n">
        <v>45377</v>
      </c>
      <c r="F1457" s="3" t="s">
        <v>1262</v>
      </c>
      <c r="G1457" s="3" t="s">
        <v>5</v>
      </c>
      <c r="H1457" s="19"/>
      <c r="I1457" s="19"/>
      <c r="J1457" s="20"/>
      <c r="K1457" s="20"/>
      <c r="L1457" s="19"/>
      <c r="M1457" s="19"/>
      <c r="N1457" s="19"/>
      <c r="O1457" s="20"/>
      <c r="P1457" s="20"/>
    </row>
    <row r="1458" customFormat="false" ht="14.25" hidden="false" customHeight="true" outlineLevel="0" collapsed="false">
      <c r="A1458" s="3" t="s">
        <v>1259</v>
      </c>
      <c r="B1458" s="3" t="s">
        <v>1260</v>
      </c>
      <c r="C1458" s="3" t="n">
        <v>226019</v>
      </c>
      <c r="D1458" s="3" t="s">
        <v>1297</v>
      </c>
      <c r="E1458" s="18" t="n">
        <v>45393</v>
      </c>
      <c r="F1458" s="3" t="s">
        <v>1262</v>
      </c>
      <c r="G1458" s="3" t="s">
        <v>5</v>
      </c>
      <c r="H1458" s="19"/>
      <c r="I1458" s="19"/>
      <c r="J1458" s="20"/>
      <c r="K1458" s="20"/>
      <c r="L1458" s="19"/>
      <c r="M1458" s="19"/>
      <c r="N1458" s="19"/>
      <c r="O1458" s="20"/>
      <c r="P1458" s="20"/>
    </row>
    <row r="1459" customFormat="false" ht="14.25" hidden="false" customHeight="true" outlineLevel="0" collapsed="false">
      <c r="A1459" s="3" t="s">
        <v>1259</v>
      </c>
      <c r="B1459" s="3" t="s">
        <v>1260</v>
      </c>
      <c r="C1459" s="3" t="n">
        <v>226019</v>
      </c>
      <c r="D1459" s="3" t="s">
        <v>1298</v>
      </c>
      <c r="E1459" s="18" t="n">
        <v>45405</v>
      </c>
      <c r="F1459" s="3" t="s">
        <v>1262</v>
      </c>
      <c r="G1459" s="3" t="s">
        <v>5</v>
      </c>
      <c r="H1459" s="19"/>
      <c r="I1459" s="19"/>
      <c r="J1459" s="20"/>
      <c r="K1459" s="20"/>
      <c r="L1459" s="19"/>
      <c r="M1459" s="19"/>
      <c r="N1459" s="19"/>
      <c r="O1459" s="20"/>
      <c r="P1459" s="20"/>
    </row>
    <row r="1460" customFormat="false" ht="14.25" hidden="false" customHeight="true" outlineLevel="0" collapsed="false">
      <c r="A1460" s="3" t="s">
        <v>1259</v>
      </c>
      <c r="B1460" s="3" t="s">
        <v>1260</v>
      </c>
      <c r="C1460" s="3" t="n">
        <v>226019</v>
      </c>
      <c r="D1460" s="3" t="s">
        <v>1299</v>
      </c>
      <c r="E1460" s="18" t="n">
        <v>45419</v>
      </c>
      <c r="F1460" s="3" t="s">
        <v>1262</v>
      </c>
      <c r="G1460" s="3" t="s">
        <v>5</v>
      </c>
      <c r="H1460" s="19"/>
      <c r="I1460" s="19"/>
      <c r="J1460" s="20"/>
      <c r="K1460" s="20"/>
      <c r="L1460" s="19"/>
      <c r="M1460" s="19"/>
      <c r="N1460" s="19"/>
      <c r="O1460" s="20"/>
      <c r="P1460" s="20"/>
    </row>
    <row r="1461" customFormat="false" ht="14.25" hidden="false" customHeight="true" outlineLevel="0" collapsed="false">
      <c r="A1461" s="3" t="s">
        <v>1259</v>
      </c>
      <c r="B1461" s="3" t="s">
        <v>1260</v>
      </c>
      <c r="C1461" s="3" t="n">
        <v>226019</v>
      </c>
      <c r="D1461" s="3" t="s">
        <v>1488</v>
      </c>
      <c r="F1461" s="3" t="s">
        <v>1262</v>
      </c>
      <c r="G1461" s="3" t="s">
        <v>5</v>
      </c>
      <c r="H1461" s="19"/>
      <c r="I1461" s="19"/>
      <c r="J1461" s="20"/>
      <c r="K1461" s="20"/>
      <c r="L1461" s="19"/>
      <c r="M1461" s="19"/>
      <c r="N1461" s="19"/>
      <c r="O1461" s="20"/>
      <c r="P1461" s="20"/>
    </row>
    <row r="1462" customFormat="false" ht="14.25" hidden="false" customHeight="true" outlineLevel="0" collapsed="false">
      <c r="A1462" s="3" t="s">
        <v>1259</v>
      </c>
      <c r="B1462" s="3" t="s">
        <v>1260</v>
      </c>
      <c r="C1462" s="3" t="n">
        <v>226021</v>
      </c>
      <c r="D1462" s="3" t="s">
        <v>1261</v>
      </c>
      <c r="E1462" s="18" t="n">
        <v>45086</v>
      </c>
      <c r="F1462" s="3" t="s">
        <v>1262</v>
      </c>
      <c r="G1462" s="3" t="s">
        <v>5</v>
      </c>
      <c r="H1462" s="19" t="n">
        <v>45086</v>
      </c>
      <c r="I1462" s="19" t="n">
        <v>44957</v>
      </c>
      <c r="J1462" s="20" t="n">
        <v>53</v>
      </c>
      <c r="K1462" s="20" t="s">
        <v>1313</v>
      </c>
      <c r="L1462" s="19" t="s">
        <v>12</v>
      </c>
      <c r="M1462" s="19"/>
      <c r="N1462" s="19"/>
      <c r="O1462" s="20"/>
      <c r="P1462" s="20"/>
    </row>
    <row r="1463" customFormat="false" ht="14.25" hidden="false" customHeight="true" outlineLevel="0" collapsed="false">
      <c r="A1463" s="3" t="s">
        <v>1259</v>
      </c>
      <c r="B1463" s="3" t="s">
        <v>1260</v>
      </c>
      <c r="C1463" s="3" t="n">
        <v>226021</v>
      </c>
      <c r="D1463" s="3" t="s">
        <v>1264</v>
      </c>
      <c r="E1463" s="18" t="n">
        <v>45104</v>
      </c>
      <c r="F1463" s="3" t="s">
        <v>1262</v>
      </c>
      <c r="G1463" s="3" t="s">
        <v>5</v>
      </c>
      <c r="H1463" s="19"/>
      <c r="I1463" s="19"/>
      <c r="J1463" s="20"/>
      <c r="K1463" s="20"/>
      <c r="L1463" s="19"/>
      <c r="M1463" s="19"/>
      <c r="N1463" s="19"/>
      <c r="O1463" s="20"/>
      <c r="P1463" s="20"/>
    </row>
    <row r="1464" customFormat="false" ht="14.25" hidden="false" customHeight="true" outlineLevel="0" collapsed="false">
      <c r="A1464" s="3" t="s">
        <v>1259</v>
      </c>
      <c r="B1464" s="3" t="s">
        <v>1260</v>
      </c>
      <c r="C1464" s="3" t="n">
        <v>226021</v>
      </c>
      <c r="D1464" s="3" t="s">
        <v>1265</v>
      </c>
      <c r="E1464" s="18" t="n">
        <v>45106</v>
      </c>
      <c r="F1464" s="3" t="s">
        <v>1262</v>
      </c>
      <c r="G1464" s="3" t="s">
        <v>5</v>
      </c>
      <c r="H1464" s="19"/>
      <c r="I1464" s="19"/>
      <c r="J1464" s="20"/>
      <c r="K1464" s="20"/>
      <c r="L1464" s="19"/>
      <c r="M1464" s="19"/>
      <c r="N1464" s="19"/>
      <c r="O1464" s="20"/>
      <c r="P1464" s="20"/>
    </row>
    <row r="1465" customFormat="false" ht="14.25" hidden="false" customHeight="true" outlineLevel="0" collapsed="false">
      <c r="A1465" s="3" t="s">
        <v>1259</v>
      </c>
      <c r="B1465" s="3" t="s">
        <v>1260</v>
      </c>
      <c r="C1465" s="3" t="n">
        <v>226021</v>
      </c>
      <c r="D1465" s="3" t="s">
        <v>1266</v>
      </c>
      <c r="E1465" s="18" t="n">
        <v>45111</v>
      </c>
      <c r="F1465" s="3" t="s">
        <v>1262</v>
      </c>
      <c r="G1465" s="3" t="s">
        <v>5</v>
      </c>
      <c r="H1465" s="19"/>
      <c r="I1465" s="19"/>
      <c r="J1465" s="20"/>
      <c r="K1465" s="20"/>
      <c r="L1465" s="19"/>
      <c r="M1465" s="19"/>
      <c r="N1465" s="19"/>
      <c r="O1465" s="20"/>
      <c r="P1465" s="20"/>
    </row>
    <row r="1466" customFormat="false" ht="14.25" hidden="false" customHeight="true" outlineLevel="0" collapsed="false">
      <c r="A1466" s="3" t="s">
        <v>1259</v>
      </c>
      <c r="B1466" s="3" t="s">
        <v>1260</v>
      </c>
      <c r="C1466" s="3" t="n">
        <v>226021</v>
      </c>
      <c r="D1466" s="3" t="s">
        <v>1269</v>
      </c>
      <c r="E1466" s="18" t="n">
        <v>45118</v>
      </c>
      <c r="F1466" s="3" t="s">
        <v>1262</v>
      </c>
      <c r="G1466" s="3" t="s">
        <v>5</v>
      </c>
      <c r="H1466" s="19"/>
      <c r="I1466" s="19"/>
      <c r="J1466" s="20"/>
      <c r="K1466" s="20"/>
      <c r="L1466" s="19"/>
      <c r="M1466" s="19"/>
      <c r="N1466" s="19"/>
      <c r="O1466" s="20"/>
      <c r="P1466" s="20"/>
    </row>
    <row r="1467" customFormat="false" ht="14.25" hidden="false" customHeight="true" outlineLevel="0" collapsed="false">
      <c r="A1467" s="3" t="s">
        <v>1259</v>
      </c>
      <c r="B1467" s="3" t="s">
        <v>1260</v>
      </c>
      <c r="C1467" s="3" t="n">
        <v>226021</v>
      </c>
      <c r="D1467" s="3" t="s">
        <v>1270</v>
      </c>
      <c r="E1467" s="18" t="n">
        <v>45125</v>
      </c>
      <c r="F1467" s="3" t="s">
        <v>1262</v>
      </c>
      <c r="G1467" s="3" t="s">
        <v>5</v>
      </c>
      <c r="H1467" s="19"/>
      <c r="I1467" s="19"/>
      <c r="J1467" s="20"/>
      <c r="K1467" s="20"/>
      <c r="L1467" s="19"/>
      <c r="M1467" s="19"/>
      <c r="N1467" s="19"/>
      <c r="O1467" s="20"/>
      <c r="P1467" s="20"/>
    </row>
    <row r="1468" customFormat="false" ht="14.25" hidden="false" customHeight="true" outlineLevel="0" collapsed="false">
      <c r="A1468" s="3" t="s">
        <v>1259</v>
      </c>
      <c r="B1468" s="3" t="s">
        <v>1260</v>
      </c>
      <c r="C1468" s="3" t="n">
        <v>226021</v>
      </c>
      <c r="D1468" s="3" t="s">
        <v>1271</v>
      </c>
      <c r="E1468" s="18" t="n">
        <v>45132</v>
      </c>
      <c r="F1468" s="3" t="s">
        <v>1262</v>
      </c>
      <c r="G1468" s="3" t="s">
        <v>5</v>
      </c>
      <c r="H1468" s="19"/>
      <c r="I1468" s="19"/>
      <c r="J1468" s="20"/>
      <c r="K1468" s="20"/>
      <c r="L1468" s="19"/>
      <c r="M1468" s="19"/>
      <c r="N1468" s="19"/>
      <c r="O1468" s="20"/>
      <c r="P1468" s="20"/>
    </row>
    <row r="1469" customFormat="false" ht="14.25" hidden="false" customHeight="true" outlineLevel="0" collapsed="false">
      <c r="A1469" s="3" t="s">
        <v>1259</v>
      </c>
      <c r="B1469" s="3" t="s">
        <v>1260</v>
      </c>
      <c r="C1469" s="3" t="n">
        <v>226021</v>
      </c>
      <c r="D1469" s="3" t="s">
        <v>1272</v>
      </c>
      <c r="E1469" s="18" t="n">
        <v>45134</v>
      </c>
      <c r="F1469" s="3" t="s">
        <v>1262</v>
      </c>
      <c r="G1469" s="3" t="s">
        <v>5</v>
      </c>
      <c r="H1469" s="19"/>
      <c r="I1469" s="19"/>
      <c r="J1469" s="20"/>
      <c r="K1469" s="20"/>
      <c r="L1469" s="19"/>
      <c r="M1469" s="19"/>
      <c r="N1469" s="19"/>
      <c r="O1469" s="20"/>
      <c r="P1469" s="20"/>
    </row>
    <row r="1470" customFormat="false" ht="14.25" hidden="false" customHeight="true" outlineLevel="0" collapsed="false">
      <c r="A1470" s="3" t="s">
        <v>1259</v>
      </c>
      <c r="B1470" s="3" t="s">
        <v>1260</v>
      </c>
      <c r="C1470" s="3" t="n">
        <v>226021</v>
      </c>
      <c r="D1470" s="3" t="s">
        <v>1273</v>
      </c>
      <c r="E1470" s="18" t="n">
        <v>45146</v>
      </c>
      <c r="F1470" s="3" t="s">
        <v>1262</v>
      </c>
      <c r="G1470" s="3" t="s">
        <v>5</v>
      </c>
      <c r="H1470" s="19"/>
      <c r="I1470" s="19"/>
      <c r="J1470" s="20"/>
      <c r="K1470" s="20"/>
      <c r="L1470" s="19"/>
      <c r="M1470" s="19"/>
      <c r="N1470" s="19"/>
      <c r="O1470" s="20"/>
      <c r="P1470" s="20"/>
    </row>
    <row r="1471" customFormat="false" ht="14.25" hidden="false" customHeight="true" outlineLevel="0" collapsed="false">
      <c r="A1471" s="3" t="s">
        <v>1259</v>
      </c>
      <c r="B1471" s="3" t="s">
        <v>1260</v>
      </c>
      <c r="C1471" s="3" t="n">
        <v>226021</v>
      </c>
      <c r="D1471" s="3" t="s">
        <v>1506</v>
      </c>
      <c r="E1471" s="18" t="n">
        <v>45159</v>
      </c>
      <c r="F1471" s="3" t="s">
        <v>1262</v>
      </c>
      <c r="G1471" s="3" t="s">
        <v>1275</v>
      </c>
      <c r="H1471" s="19"/>
      <c r="I1471" s="19"/>
      <c r="J1471" s="20"/>
      <c r="K1471" s="20"/>
      <c r="L1471" s="19"/>
      <c r="M1471" s="19"/>
      <c r="N1471" s="19"/>
      <c r="O1471" s="20"/>
      <c r="P1471" s="20"/>
    </row>
    <row r="1472" customFormat="false" ht="14.25" hidden="false" customHeight="true" outlineLevel="0" collapsed="false">
      <c r="A1472" s="3" t="s">
        <v>1259</v>
      </c>
      <c r="B1472" s="3" t="s">
        <v>1260</v>
      </c>
      <c r="C1472" s="3" t="n">
        <v>226021</v>
      </c>
      <c r="D1472" s="3" t="s">
        <v>1276</v>
      </c>
      <c r="E1472" s="18" t="n">
        <v>45160</v>
      </c>
      <c r="F1472" s="3" t="s">
        <v>1262</v>
      </c>
      <c r="G1472" s="3" t="s">
        <v>5</v>
      </c>
      <c r="H1472" s="19"/>
      <c r="I1472" s="19"/>
      <c r="J1472" s="20"/>
      <c r="K1472" s="20"/>
      <c r="L1472" s="19"/>
      <c r="M1472" s="19"/>
      <c r="N1472" s="19"/>
      <c r="O1472" s="20"/>
      <c r="P1472" s="20"/>
    </row>
    <row r="1473" customFormat="false" ht="14.25" hidden="false" customHeight="true" outlineLevel="0" collapsed="false">
      <c r="A1473" s="3" t="s">
        <v>1259</v>
      </c>
      <c r="B1473" s="3" t="s">
        <v>1260</v>
      </c>
      <c r="C1473" s="3" t="n">
        <v>226021</v>
      </c>
      <c r="D1473" s="3" t="s">
        <v>1277</v>
      </c>
      <c r="E1473" s="18" t="n">
        <v>45174</v>
      </c>
      <c r="F1473" s="3" t="s">
        <v>1262</v>
      </c>
      <c r="G1473" s="3" t="s">
        <v>5</v>
      </c>
      <c r="H1473" s="19"/>
      <c r="I1473" s="19"/>
      <c r="J1473" s="20"/>
      <c r="K1473" s="20"/>
      <c r="L1473" s="19"/>
      <c r="M1473" s="19"/>
      <c r="N1473" s="19"/>
      <c r="O1473" s="20"/>
      <c r="P1473" s="20"/>
    </row>
    <row r="1474" customFormat="false" ht="14.25" hidden="false" customHeight="true" outlineLevel="0" collapsed="false">
      <c r="A1474" s="3" t="s">
        <v>1259</v>
      </c>
      <c r="B1474" s="3" t="s">
        <v>1260</v>
      </c>
      <c r="C1474" s="3" t="n">
        <v>226021</v>
      </c>
      <c r="D1474" s="3" t="s">
        <v>1278</v>
      </c>
      <c r="E1474" s="18" t="n">
        <v>45188</v>
      </c>
      <c r="F1474" s="3" t="s">
        <v>1262</v>
      </c>
      <c r="G1474" s="3" t="s">
        <v>5</v>
      </c>
      <c r="H1474" s="19"/>
      <c r="I1474" s="19"/>
      <c r="J1474" s="20"/>
      <c r="K1474" s="20"/>
      <c r="L1474" s="19"/>
      <c r="M1474" s="19"/>
      <c r="N1474" s="19"/>
      <c r="O1474" s="20"/>
      <c r="P1474" s="20"/>
    </row>
    <row r="1475" customFormat="false" ht="14.25" hidden="false" customHeight="true" outlineLevel="0" collapsed="false">
      <c r="A1475" s="3" t="s">
        <v>1259</v>
      </c>
      <c r="B1475" s="3" t="s">
        <v>1260</v>
      </c>
      <c r="C1475" s="3" t="n">
        <v>226021</v>
      </c>
      <c r="D1475" s="3" t="s">
        <v>1507</v>
      </c>
      <c r="E1475" s="18" t="n">
        <v>45195</v>
      </c>
      <c r="F1475" s="3" t="s">
        <v>1262</v>
      </c>
      <c r="G1475" s="3" t="s">
        <v>1268</v>
      </c>
      <c r="H1475" s="19"/>
      <c r="I1475" s="19"/>
      <c r="J1475" s="20"/>
      <c r="K1475" s="20"/>
      <c r="L1475" s="19"/>
      <c r="M1475" s="19"/>
      <c r="N1475" s="19"/>
      <c r="O1475" s="20"/>
      <c r="P1475" s="20"/>
    </row>
    <row r="1476" customFormat="false" ht="14.25" hidden="false" customHeight="true" outlineLevel="0" collapsed="false">
      <c r="A1476" s="3" t="s">
        <v>1259</v>
      </c>
      <c r="B1476" s="3" t="s">
        <v>1260</v>
      </c>
      <c r="C1476" s="3" t="n">
        <v>226021</v>
      </c>
      <c r="D1476" s="3" t="s">
        <v>1279</v>
      </c>
      <c r="E1476" s="18" t="n">
        <v>45203</v>
      </c>
      <c r="F1476" s="3" t="s">
        <v>1262</v>
      </c>
      <c r="G1476" s="3" t="s">
        <v>5</v>
      </c>
      <c r="H1476" s="19"/>
      <c r="I1476" s="19"/>
      <c r="J1476" s="20"/>
      <c r="K1476" s="20"/>
      <c r="L1476" s="19"/>
      <c r="M1476" s="19"/>
      <c r="N1476" s="19"/>
      <c r="O1476" s="20"/>
      <c r="P1476" s="20"/>
    </row>
    <row r="1477" customFormat="false" ht="14.25" hidden="false" customHeight="true" outlineLevel="0" collapsed="false">
      <c r="A1477" s="3" t="s">
        <v>1259</v>
      </c>
      <c r="B1477" s="3" t="s">
        <v>1260</v>
      </c>
      <c r="C1477" s="3" t="n">
        <v>226021</v>
      </c>
      <c r="D1477" s="3" t="s">
        <v>1281</v>
      </c>
      <c r="E1477" s="18" t="n">
        <v>45216</v>
      </c>
      <c r="F1477" s="3" t="s">
        <v>1262</v>
      </c>
      <c r="G1477" s="3" t="s">
        <v>5</v>
      </c>
      <c r="H1477" s="19"/>
      <c r="I1477" s="19"/>
      <c r="J1477" s="20"/>
      <c r="K1477" s="20"/>
      <c r="L1477" s="19"/>
      <c r="M1477" s="19"/>
      <c r="N1477" s="19"/>
      <c r="O1477" s="20"/>
      <c r="P1477" s="20"/>
    </row>
    <row r="1478" customFormat="false" ht="14.25" hidden="false" customHeight="true" outlineLevel="0" collapsed="false">
      <c r="A1478" s="3" t="s">
        <v>1259</v>
      </c>
      <c r="B1478" s="3" t="s">
        <v>1260</v>
      </c>
      <c r="C1478" s="3" t="n">
        <v>226021</v>
      </c>
      <c r="D1478" s="3" t="s">
        <v>1508</v>
      </c>
      <c r="E1478" s="18" t="n">
        <v>45216</v>
      </c>
      <c r="F1478" s="3" t="s">
        <v>1262</v>
      </c>
      <c r="G1478" s="3" t="s">
        <v>1275</v>
      </c>
      <c r="H1478" s="19"/>
      <c r="I1478" s="19"/>
      <c r="J1478" s="20"/>
      <c r="K1478" s="20"/>
      <c r="L1478" s="19"/>
      <c r="M1478" s="19"/>
      <c r="N1478" s="19"/>
      <c r="O1478" s="20"/>
      <c r="P1478" s="20"/>
    </row>
    <row r="1479" customFormat="false" ht="14.25" hidden="false" customHeight="true" outlineLevel="0" collapsed="false">
      <c r="A1479" s="3" t="s">
        <v>1259</v>
      </c>
      <c r="B1479" s="3" t="s">
        <v>1260</v>
      </c>
      <c r="C1479" s="3" t="n">
        <v>226021</v>
      </c>
      <c r="D1479" s="3" t="s">
        <v>1282</v>
      </c>
      <c r="E1479" s="18" t="n">
        <v>45230</v>
      </c>
      <c r="F1479" s="3" t="s">
        <v>1262</v>
      </c>
      <c r="G1479" s="3" t="s">
        <v>5</v>
      </c>
      <c r="H1479" s="19"/>
      <c r="I1479" s="19"/>
      <c r="J1479" s="20"/>
      <c r="K1479" s="20"/>
      <c r="L1479" s="19"/>
      <c r="M1479" s="19"/>
      <c r="N1479" s="19"/>
      <c r="O1479" s="20"/>
      <c r="P1479" s="20"/>
    </row>
    <row r="1480" customFormat="false" ht="14.25" hidden="false" customHeight="true" outlineLevel="0" collapsed="false">
      <c r="A1480" s="3" t="s">
        <v>1259</v>
      </c>
      <c r="B1480" s="3" t="s">
        <v>1260</v>
      </c>
      <c r="C1480" s="3" t="n">
        <v>226021</v>
      </c>
      <c r="D1480" s="3" t="s">
        <v>1283</v>
      </c>
      <c r="E1480" s="18" t="n">
        <v>45244</v>
      </c>
      <c r="F1480" s="3" t="s">
        <v>1262</v>
      </c>
      <c r="G1480" s="3" t="s">
        <v>5</v>
      </c>
      <c r="H1480" s="19"/>
      <c r="I1480" s="19"/>
      <c r="J1480" s="20"/>
      <c r="K1480" s="20"/>
      <c r="L1480" s="19"/>
      <c r="M1480" s="19"/>
      <c r="N1480" s="19"/>
      <c r="O1480" s="20"/>
      <c r="P1480" s="20"/>
    </row>
    <row r="1481" customFormat="false" ht="14.25" hidden="false" customHeight="true" outlineLevel="0" collapsed="false">
      <c r="A1481" s="3" t="s">
        <v>1259</v>
      </c>
      <c r="B1481" s="3" t="s">
        <v>1260</v>
      </c>
      <c r="C1481" s="3" t="n">
        <v>226021</v>
      </c>
      <c r="D1481" s="3" t="s">
        <v>1284</v>
      </c>
      <c r="E1481" s="18" t="n">
        <v>45258</v>
      </c>
      <c r="F1481" s="3" t="s">
        <v>1262</v>
      </c>
      <c r="G1481" s="3" t="s">
        <v>5</v>
      </c>
      <c r="H1481" s="19"/>
      <c r="I1481" s="19"/>
      <c r="J1481" s="20"/>
      <c r="K1481" s="20"/>
      <c r="L1481" s="19"/>
      <c r="M1481" s="19"/>
      <c r="N1481" s="19"/>
      <c r="O1481" s="20"/>
      <c r="P1481" s="20"/>
    </row>
    <row r="1482" customFormat="false" ht="14.25" hidden="false" customHeight="true" outlineLevel="0" collapsed="false">
      <c r="A1482" s="3" t="s">
        <v>1259</v>
      </c>
      <c r="B1482" s="3" t="s">
        <v>1260</v>
      </c>
      <c r="C1482" s="3" t="n">
        <v>226021</v>
      </c>
      <c r="D1482" s="3" t="s">
        <v>1286</v>
      </c>
      <c r="E1482" s="18" t="n">
        <v>45272</v>
      </c>
      <c r="F1482" s="3" t="s">
        <v>1262</v>
      </c>
      <c r="G1482" s="3" t="s">
        <v>5</v>
      </c>
      <c r="H1482" s="19"/>
      <c r="I1482" s="19"/>
      <c r="J1482" s="20"/>
      <c r="K1482" s="20"/>
      <c r="L1482" s="19"/>
      <c r="M1482" s="19"/>
      <c r="N1482" s="19"/>
      <c r="O1482" s="20"/>
      <c r="P1482" s="20"/>
    </row>
    <row r="1483" customFormat="false" ht="14.25" hidden="false" customHeight="true" outlineLevel="0" collapsed="false">
      <c r="A1483" s="3" t="s">
        <v>1259</v>
      </c>
      <c r="B1483" s="3" t="s">
        <v>1260</v>
      </c>
      <c r="C1483" s="3" t="n">
        <v>226021</v>
      </c>
      <c r="D1483" s="3" t="s">
        <v>1426</v>
      </c>
      <c r="E1483" s="18" t="n">
        <v>45272</v>
      </c>
      <c r="F1483" s="3" t="s">
        <v>1262</v>
      </c>
      <c r="G1483" s="3" t="s">
        <v>1275</v>
      </c>
      <c r="H1483" s="19"/>
      <c r="I1483" s="19"/>
      <c r="J1483" s="20"/>
      <c r="K1483" s="20"/>
      <c r="L1483" s="19"/>
      <c r="M1483" s="19"/>
      <c r="N1483" s="19"/>
      <c r="O1483" s="20"/>
      <c r="P1483" s="20"/>
    </row>
    <row r="1484" customFormat="false" ht="14.25" hidden="false" customHeight="true" outlineLevel="0" collapsed="false">
      <c r="A1484" s="3" t="s">
        <v>1259</v>
      </c>
      <c r="B1484" s="3" t="s">
        <v>1260</v>
      </c>
      <c r="C1484" s="3" t="n">
        <v>226021</v>
      </c>
      <c r="D1484" s="3" t="s">
        <v>1287</v>
      </c>
      <c r="E1484" s="18" t="n">
        <v>45288</v>
      </c>
      <c r="F1484" s="3" t="s">
        <v>1262</v>
      </c>
      <c r="G1484" s="3" t="s">
        <v>5</v>
      </c>
      <c r="H1484" s="19"/>
      <c r="I1484" s="19"/>
      <c r="J1484" s="20"/>
      <c r="K1484" s="20"/>
      <c r="L1484" s="19"/>
      <c r="M1484" s="19"/>
      <c r="N1484" s="19"/>
      <c r="O1484" s="20"/>
      <c r="P1484" s="20"/>
    </row>
    <row r="1485" customFormat="false" ht="14.25" hidden="false" customHeight="true" outlineLevel="0" collapsed="false">
      <c r="A1485" s="3" t="s">
        <v>1259</v>
      </c>
      <c r="B1485" s="3" t="s">
        <v>1260</v>
      </c>
      <c r="C1485" s="3" t="n">
        <v>226021</v>
      </c>
      <c r="D1485" s="3" t="s">
        <v>1288</v>
      </c>
      <c r="E1485" s="18" t="n">
        <v>45300</v>
      </c>
      <c r="F1485" s="3" t="s">
        <v>1262</v>
      </c>
      <c r="G1485" s="3" t="s">
        <v>5</v>
      </c>
      <c r="H1485" s="19"/>
      <c r="I1485" s="19"/>
      <c r="J1485" s="20"/>
      <c r="K1485" s="20"/>
      <c r="L1485" s="19"/>
      <c r="M1485" s="19"/>
      <c r="N1485" s="19"/>
      <c r="O1485" s="20"/>
      <c r="P1485" s="20"/>
    </row>
    <row r="1486" customFormat="false" ht="14.25" hidden="false" customHeight="true" outlineLevel="0" collapsed="false">
      <c r="A1486" s="3" t="s">
        <v>1259</v>
      </c>
      <c r="B1486" s="3" t="s">
        <v>1260</v>
      </c>
      <c r="C1486" s="3" t="n">
        <v>226021</v>
      </c>
      <c r="D1486" s="3" t="s">
        <v>1289</v>
      </c>
      <c r="E1486" s="18" t="n">
        <v>45314</v>
      </c>
      <c r="F1486" s="3" t="s">
        <v>1262</v>
      </c>
      <c r="G1486" s="3" t="s">
        <v>5</v>
      </c>
      <c r="H1486" s="19"/>
      <c r="I1486" s="19"/>
      <c r="J1486" s="20"/>
      <c r="K1486" s="20"/>
      <c r="L1486" s="19"/>
      <c r="M1486" s="19"/>
      <c r="N1486" s="19"/>
      <c r="O1486" s="20"/>
      <c r="P1486" s="20"/>
    </row>
    <row r="1487" customFormat="false" ht="14.25" hidden="false" customHeight="true" outlineLevel="0" collapsed="false">
      <c r="A1487" s="3" t="s">
        <v>1259</v>
      </c>
      <c r="B1487" s="3" t="s">
        <v>1260</v>
      </c>
      <c r="C1487" s="3" t="n">
        <v>226021</v>
      </c>
      <c r="D1487" s="3" t="s">
        <v>1290</v>
      </c>
      <c r="E1487" s="18" t="n">
        <v>45328</v>
      </c>
      <c r="F1487" s="3" t="s">
        <v>1262</v>
      </c>
      <c r="G1487" s="3" t="s">
        <v>5</v>
      </c>
      <c r="H1487" s="19"/>
      <c r="I1487" s="19"/>
      <c r="J1487" s="20"/>
      <c r="K1487" s="20"/>
      <c r="L1487" s="19"/>
      <c r="M1487" s="19"/>
      <c r="N1487" s="19"/>
      <c r="O1487" s="20"/>
      <c r="P1487" s="20"/>
    </row>
    <row r="1488" customFormat="false" ht="14.25" hidden="false" customHeight="true" outlineLevel="0" collapsed="false">
      <c r="A1488" s="3" t="s">
        <v>1259</v>
      </c>
      <c r="B1488" s="3" t="s">
        <v>1260</v>
      </c>
      <c r="C1488" s="3" t="n">
        <v>226021</v>
      </c>
      <c r="D1488" s="3" t="s">
        <v>1417</v>
      </c>
      <c r="E1488" s="18" t="n">
        <v>45328</v>
      </c>
      <c r="F1488" s="3" t="s">
        <v>1262</v>
      </c>
      <c r="G1488" s="3" t="s">
        <v>1275</v>
      </c>
      <c r="H1488" s="19"/>
      <c r="I1488" s="19"/>
      <c r="J1488" s="20"/>
      <c r="K1488" s="20"/>
      <c r="L1488" s="19"/>
      <c r="M1488" s="19"/>
      <c r="N1488" s="19"/>
      <c r="O1488" s="20"/>
      <c r="P1488" s="20"/>
    </row>
    <row r="1489" customFormat="false" ht="14.25" hidden="false" customHeight="true" outlineLevel="0" collapsed="false">
      <c r="A1489" s="3" t="s">
        <v>1259</v>
      </c>
      <c r="B1489" s="3" t="s">
        <v>1260</v>
      </c>
      <c r="C1489" s="3" t="n">
        <v>226021</v>
      </c>
      <c r="D1489" s="3" t="s">
        <v>1292</v>
      </c>
      <c r="E1489" s="18" t="n">
        <v>45342</v>
      </c>
      <c r="F1489" s="3" t="s">
        <v>1262</v>
      </c>
      <c r="G1489" s="3" t="s">
        <v>5</v>
      </c>
      <c r="H1489" s="19"/>
      <c r="I1489" s="19"/>
      <c r="J1489" s="20"/>
      <c r="K1489" s="20"/>
      <c r="L1489" s="19"/>
      <c r="M1489" s="19"/>
      <c r="N1489" s="19"/>
      <c r="O1489" s="20"/>
      <c r="P1489" s="20"/>
    </row>
    <row r="1490" customFormat="false" ht="14.25" hidden="false" customHeight="true" outlineLevel="0" collapsed="false">
      <c r="A1490" s="3" t="s">
        <v>1259</v>
      </c>
      <c r="B1490" s="3" t="s">
        <v>1260</v>
      </c>
      <c r="C1490" s="3" t="n">
        <v>226021</v>
      </c>
      <c r="D1490" s="3" t="s">
        <v>1293</v>
      </c>
      <c r="E1490" s="18" t="n">
        <v>45356</v>
      </c>
      <c r="F1490" s="3" t="s">
        <v>1262</v>
      </c>
      <c r="G1490" s="3" t="s">
        <v>5</v>
      </c>
      <c r="H1490" s="19"/>
      <c r="I1490" s="19"/>
      <c r="J1490" s="20"/>
      <c r="K1490" s="20"/>
      <c r="L1490" s="19"/>
      <c r="M1490" s="19"/>
      <c r="N1490" s="19"/>
      <c r="O1490" s="20"/>
      <c r="P1490" s="20"/>
    </row>
    <row r="1491" customFormat="false" ht="14.25" hidden="false" customHeight="true" outlineLevel="0" collapsed="false">
      <c r="A1491" s="3" t="s">
        <v>1259</v>
      </c>
      <c r="B1491" s="3" t="s">
        <v>1260</v>
      </c>
      <c r="C1491" s="3" t="n">
        <v>226021</v>
      </c>
      <c r="D1491" s="3" t="s">
        <v>1294</v>
      </c>
      <c r="E1491" s="18" t="n">
        <v>45370</v>
      </c>
      <c r="F1491" s="3" t="s">
        <v>1262</v>
      </c>
      <c r="G1491" s="3" t="s">
        <v>5</v>
      </c>
      <c r="H1491" s="19"/>
      <c r="I1491" s="19"/>
      <c r="J1491" s="20"/>
      <c r="K1491" s="20"/>
      <c r="L1491" s="19"/>
      <c r="M1491" s="19"/>
      <c r="N1491" s="19"/>
      <c r="O1491" s="20"/>
      <c r="P1491" s="20"/>
    </row>
    <row r="1492" customFormat="false" ht="14.25" hidden="false" customHeight="true" outlineLevel="0" collapsed="false">
      <c r="A1492" s="3" t="s">
        <v>1259</v>
      </c>
      <c r="B1492" s="3" t="s">
        <v>1260</v>
      </c>
      <c r="C1492" s="3" t="n">
        <v>226021</v>
      </c>
      <c r="D1492" s="3" t="s">
        <v>1295</v>
      </c>
      <c r="E1492" s="18" t="n">
        <v>45384</v>
      </c>
      <c r="F1492" s="3" t="s">
        <v>1262</v>
      </c>
      <c r="G1492" s="3" t="s">
        <v>5</v>
      </c>
      <c r="H1492" s="19"/>
      <c r="I1492" s="19"/>
      <c r="J1492" s="20"/>
      <c r="K1492" s="20"/>
      <c r="L1492" s="19"/>
      <c r="M1492" s="19"/>
      <c r="N1492" s="19"/>
      <c r="O1492" s="20"/>
      <c r="P1492" s="20"/>
    </row>
    <row r="1493" customFormat="false" ht="14.25" hidden="false" customHeight="true" outlineLevel="0" collapsed="false">
      <c r="A1493" s="3" t="s">
        <v>1259</v>
      </c>
      <c r="B1493" s="3" t="s">
        <v>1260</v>
      </c>
      <c r="C1493" s="3" t="n">
        <v>226021</v>
      </c>
      <c r="D1493" s="3" t="s">
        <v>1509</v>
      </c>
      <c r="E1493" s="18" t="n">
        <v>45384</v>
      </c>
      <c r="F1493" s="3" t="s">
        <v>1262</v>
      </c>
      <c r="G1493" s="3" t="s">
        <v>1275</v>
      </c>
      <c r="H1493" s="19"/>
      <c r="I1493" s="19"/>
      <c r="J1493" s="20"/>
      <c r="K1493" s="20"/>
      <c r="L1493" s="19"/>
      <c r="M1493" s="19"/>
      <c r="N1493" s="19"/>
      <c r="O1493" s="20"/>
      <c r="P1493" s="20"/>
    </row>
    <row r="1494" customFormat="false" ht="14.25" hidden="false" customHeight="true" outlineLevel="0" collapsed="false">
      <c r="A1494" s="3" t="s">
        <v>1259</v>
      </c>
      <c r="B1494" s="3" t="s">
        <v>1260</v>
      </c>
      <c r="C1494" s="3" t="n">
        <v>226021</v>
      </c>
      <c r="D1494" s="3" t="s">
        <v>1297</v>
      </c>
      <c r="E1494" s="18" t="n">
        <v>45398</v>
      </c>
      <c r="F1494" s="3" t="s">
        <v>1262</v>
      </c>
      <c r="G1494" s="3" t="s">
        <v>5</v>
      </c>
      <c r="H1494" s="19"/>
      <c r="I1494" s="19"/>
      <c r="J1494" s="20"/>
      <c r="K1494" s="20"/>
      <c r="L1494" s="19"/>
      <c r="M1494" s="19"/>
      <c r="N1494" s="19"/>
      <c r="O1494" s="20"/>
      <c r="P1494" s="20"/>
    </row>
    <row r="1495" customFormat="false" ht="14.25" hidden="false" customHeight="true" outlineLevel="0" collapsed="false">
      <c r="A1495" s="3" t="s">
        <v>1259</v>
      </c>
      <c r="B1495" s="3" t="s">
        <v>1260</v>
      </c>
      <c r="C1495" s="3" t="n">
        <v>226021</v>
      </c>
      <c r="D1495" s="3" t="s">
        <v>1488</v>
      </c>
      <c r="F1495" s="3" t="s">
        <v>1262</v>
      </c>
      <c r="G1495" s="3" t="s">
        <v>5</v>
      </c>
      <c r="H1495" s="19"/>
      <c r="I1495" s="19"/>
      <c r="J1495" s="20"/>
      <c r="K1495" s="20"/>
      <c r="L1495" s="19"/>
      <c r="M1495" s="19"/>
      <c r="N1495" s="19"/>
      <c r="O1495" s="20"/>
      <c r="P1495" s="20"/>
    </row>
    <row r="1496" customFormat="false" ht="14.25" hidden="false" customHeight="true" outlineLevel="0" collapsed="false">
      <c r="A1496" s="3" t="s">
        <v>1259</v>
      </c>
      <c r="B1496" s="3" t="s">
        <v>1260</v>
      </c>
      <c r="C1496" s="3" t="n">
        <v>226021</v>
      </c>
      <c r="D1496" s="3" t="s">
        <v>1489</v>
      </c>
      <c r="F1496" s="3" t="s">
        <v>1262</v>
      </c>
      <c r="G1496" s="3" t="s">
        <v>5</v>
      </c>
      <c r="H1496" s="19"/>
      <c r="I1496" s="19"/>
      <c r="J1496" s="20"/>
      <c r="K1496" s="20"/>
      <c r="L1496" s="19"/>
      <c r="M1496" s="19"/>
      <c r="N1496" s="19"/>
      <c r="O1496" s="20"/>
      <c r="P1496" s="20"/>
    </row>
    <row r="1497" customFormat="false" ht="14.25" hidden="false" customHeight="true" outlineLevel="0" collapsed="false">
      <c r="A1497" s="3" t="s">
        <v>1259</v>
      </c>
      <c r="B1497" s="3" t="s">
        <v>1260</v>
      </c>
      <c r="C1497" s="3" t="n">
        <v>226021</v>
      </c>
      <c r="D1497" s="3" t="s">
        <v>1490</v>
      </c>
      <c r="F1497" s="3" t="s">
        <v>1262</v>
      </c>
      <c r="G1497" s="3" t="s">
        <v>5</v>
      </c>
      <c r="H1497" s="19"/>
      <c r="I1497" s="19"/>
      <c r="J1497" s="20"/>
      <c r="K1497" s="20"/>
      <c r="L1497" s="19"/>
      <c r="M1497" s="19"/>
      <c r="N1497" s="19"/>
      <c r="O1497" s="20"/>
      <c r="P1497" s="20"/>
    </row>
    <row r="1498" customFormat="false" ht="14.25" hidden="false" customHeight="true" outlineLevel="0" collapsed="false">
      <c r="A1498" s="3" t="s">
        <v>1259</v>
      </c>
      <c r="B1498" s="3" t="s">
        <v>1260</v>
      </c>
      <c r="C1498" s="3" t="n">
        <v>226022</v>
      </c>
      <c r="D1498" s="3" t="s">
        <v>1261</v>
      </c>
      <c r="E1498" s="18" t="n">
        <v>45086</v>
      </c>
      <c r="F1498" s="3" t="s">
        <v>1262</v>
      </c>
      <c r="G1498" s="3" t="s">
        <v>5</v>
      </c>
      <c r="H1498" s="19" t="n">
        <v>45086</v>
      </c>
      <c r="I1498" s="19" t="n">
        <v>44957</v>
      </c>
      <c r="J1498" s="20" t="n">
        <v>64</v>
      </c>
      <c r="K1498" s="20" t="s">
        <v>1263</v>
      </c>
      <c r="L1498" s="19" t="s">
        <v>12</v>
      </c>
      <c r="M1498" s="19"/>
      <c r="N1498" s="19"/>
      <c r="O1498" s="20"/>
      <c r="P1498" s="20"/>
    </row>
    <row r="1499" customFormat="false" ht="14.25" hidden="false" customHeight="true" outlineLevel="0" collapsed="false">
      <c r="A1499" s="3" t="s">
        <v>1259</v>
      </c>
      <c r="B1499" s="3" t="s">
        <v>1260</v>
      </c>
      <c r="C1499" s="3" t="n">
        <v>226022</v>
      </c>
      <c r="D1499" s="3" t="s">
        <v>1264</v>
      </c>
      <c r="E1499" s="18" t="n">
        <v>45098</v>
      </c>
      <c r="F1499" s="3" t="s">
        <v>1262</v>
      </c>
      <c r="G1499" s="3" t="s">
        <v>5</v>
      </c>
      <c r="H1499" s="19"/>
      <c r="I1499" s="19"/>
      <c r="J1499" s="20"/>
      <c r="K1499" s="20"/>
      <c r="L1499" s="19"/>
      <c r="M1499" s="19"/>
      <c r="N1499" s="19"/>
      <c r="O1499" s="20"/>
      <c r="P1499" s="20"/>
    </row>
    <row r="1500" customFormat="false" ht="14.25" hidden="false" customHeight="true" outlineLevel="0" collapsed="false">
      <c r="A1500" s="3" t="s">
        <v>1259</v>
      </c>
      <c r="B1500" s="3" t="s">
        <v>1260</v>
      </c>
      <c r="C1500" s="3" t="n">
        <v>226022</v>
      </c>
      <c r="D1500" s="3" t="s">
        <v>1265</v>
      </c>
      <c r="E1500" s="18" t="n">
        <v>45100</v>
      </c>
      <c r="F1500" s="3" t="s">
        <v>1262</v>
      </c>
      <c r="G1500" s="3" t="s">
        <v>5</v>
      </c>
      <c r="H1500" s="19"/>
      <c r="I1500" s="19"/>
      <c r="J1500" s="20"/>
      <c r="K1500" s="20"/>
      <c r="L1500" s="19"/>
      <c r="M1500" s="19"/>
      <c r="N1500" s="19"/>
      <c r="O1500" s="20"/>
      <c r="P1500" s="20"/>
    </row>
    <row r="1501" customFormat="false" ht="14.25" hidden="false" customHeight="true" outlineLevel="0" collapsed="false">
      <c r="A1501" s="3" t="s">
        <v>1259</v>
      </c>
      <c r="B1501" s="3" t="s">
        <v>1260</v>
      </c>
      <c r="C1501" s="3" t="n">
        <v>226022</v>
      </c>
      <c r="D1501" s="3" t="s">
        <v>1266</v>
      </c>
      <c r="E1501" s="18" t="n">
        <v>45105</v>
      </c>
      <c r="F1501" s="3" t="s">
        <v>1262</v>
      </c>
      <c r="G1501" s="3" t="s">
        <v>5</v>
      </c>
      <c r="H1501" s="19"/>
      <c r="I1501" s="19"/>
      <c r="J1501" s="20"/>
      <c r="K1501" s="20"/>
      <c r="L1501" s="19"/>
      <c r="M1501" s="19"/>
      <c r="N1501" s="19"/>
      <c r="O1501" s="20"/>
      <c r="P1501" s="20"/>
    </row>
    <row r="1502" customFormat="false" ht="14.25" hidden="false" customHeight="true" outlineLevel="0" collapsed="false">
      <c r="A1502" s="3" t="s">
        <v>1259</v>
      </c>
      <c r="B1502" s="3" t="s">
        <v>1260</v>
      </c>
      <c r="C1502" s="3" t="n">
        <v>226022</v>
      </c>
      <c r="D1502" s="3" t="s">
        <v>1269</v>
      </c>
      <c r="E1502" s="18" t="n">
        <v>45112</v>
      </c>
      <c r="F1502" s="3" t="s">
        <v>1262</v>
      </c>
      <c r="G1502" s="3" t="s">
        <v>5</v>
      </c>
      <c r="H1502" s="19"/>
      <c r="I1502" s="19"/>
      <c r="J1502" s="20"/>
      <c r="K1502" s="20"/>
      <c r="L1502" s="19"/>
      <c r="M1502" s="19"/>
      <c r="N1502" s="19"/>
      <c r="O1502" s="20"/>
      <c r="P1502" s="20"/>
    </row>
    <row r="1503" customFormat="false" ht="14.25" hidden="false" customHeight="true" outlineLevel="0" collapsed="false">
      <c r="A1503" s="3" t="s">
        <v>1259</v>
      </c>
      <c r="B1503" s="3" t="s">
        <v>1260</v>
      </c>
      <c r="C1503" s="3" t="n">
        <v>226022</v>
      </c>
      <c r="D1503" s="3" t="s">
        <v>1270</v>
      </c>
      <c r="E1503" s="18" t="n">
        <v>45119</v>
      </c>
      <c r="F1503" s="3" t="s">
        <v>1262</v>
      </c>
      <c r="G1503" s="3" t="s">
        <v>5</v>
      </c>
      <c r="H1503" s="19"/>
      <c r="I1503" s="19"/>
      <c r="J1503" s="20"/>
      <c r="K1503" s="20"/>
      <c r="L1503" s="19"/>
      <c r="M1503" s="19"/>
      <c r="N1503" s="19"/>
      <c r="O1503" s="20"/>
      <c r="P1503" s="20"/>
    </row>
    <row r="1504" customFormat="false" ht="14.25" hidden="false" customHeight="true" outlineLevel="0" collapsed="false">
      <c r="A1504" s="3" t="s">
        <v>1259</v>
      </c>
      <c r="B1504" s="3" t="s">
        <v>1260</v>
      </c>
      <c r="C1504" s="3" t="n">
        <v>226022</v>
      </c>
      <c r="D1504" s="3" t="s">
        <v>1271</v>
      </c>
      <c r="E1504" s="18" t="n">
        <v>45125</v>
      </c>
      <c r="F1504" s="3" t="s">
        <v>1262</v>
      </c>
      <c r="G1504" s="3" t="s">
        <v>5</v>
      </c>
      <c r="H1504" s="19"/>
      <c r="I1504" s="19"/>
      <c r="J1504" s="20"/>
      <c r="K1504" s="20"/>
      <c r="L1504" s="19"/>
      <c r="M1504" s="19"/>
      <c r="N1504" s="19"/>
      <c r="O1504" s="20"/>
      <c r="P1504" s="20"/>
    </row>
    <row r="1505" customFormat="false" ht="14.25" hidden="false" customHeight="true" outlineLevel="0" collapsed="false">
      <c r="A1505" s="3" t="s">
        <v>1259</v>
      </c>
      <c r="B1505" s="3" t="s">
        <v>1260</v>
      </c>
      <c r="C1505" s="3" t="n">
        <v>226022</v>
      </c>
      <c r="D1505" s="3" t="s">
        <v>1272</v>
      </c>
      <c r="E1505" s="18" t="n">
        <v>45127</v>
      </c>
      <c r="F1505" s="3" t="s">
        <v>1262</v>
      </c>
      <c r="G1505" s="3" t="s">
        <v>5</v>
      </c>
      <c r="H1505" s="19"/>
      <c r="I1505" s="19"/>
      <c r="J1505" s="20"/>
      <c r="K1505" s="20"/>
      <c r="L1505" s="19"/>
      <c r="M1505" s="19"/>
      <c r="N1505" s="19"/>
      <c r="O1505" s="20"/>
      <c r="P1505" s="20"/>
    </row>
    <row r="1506" customFormat="false" ht="14.25" hidden="false" customHeight="true" outlineLevel="0" collapsed="false">
      <c r="A1506" s="3" t="s">
        <v>1259</v>
      </c>
      <c r="B1506" s="3" t="s">
        <v>1260</v>
      </c>
      <c r="C1506" s="3" t="n">
        <v>226022</v>
      </c>
      <c r="D1506" s="3" t="s">
        <v>1273</v>
      </c>
      <c r="E1506" s="18" t="n">
        <v>45139</v>
      </c>
      <c r="F1506" s="3" t="s">
        <v>1262</v>
      </c>
      <c r="G1506" s="3" t="s">
        <v>5</v>
      </c>
      <c r="H1506" s="19"/>
      <c r="I1506" s="19"/>
      <c r="J1506" s="20"/>
      <c r="K1506" s="20"/>
      <c r="L1506" s="19"/>
      <c r="M1506" s="19"/>
      <c r="N1506" s="19"/>
      <c r="O1506" s="20"/>
      <c r="P1506" s="20"/>
    </row>
    <row r="1507" customFormat="false" ht="14.25" hidden="false" customHeight="true" outlineLevel="0" collapsed="false">
      <c r="A1507" s="3" t="s">
        <v>1259</v>
      </c>
      <c r="B1507" s="3" t="s">
        <v>1260</v>
      </c>
      <c r="C1507" s="3" t="n">
        <v>226022</v>
      </c>
      <c r="D1507" s="3" t="s">
        <v>1510</v>
      </c>
      <c r="E1507" s="18" t="n">
        <v>45154</v>
      </c>
      <c r="F1507" s="3" t="s">
        <v>1262</v>
      </c>
      <c r="G1507" s="3" t="s">
        <v>1275</v>
      </c>
      <c r="H1507" s="19"/>
      <c r="I1507" s="19"/>
      <c r="J1507" s="20"/>
      <c r="K1507" s="20"/>
      <c r="L1507" s="19"/>
      <c r="M1507" s="19"/>
      <c r="N1507" s="19"/>
      <c r="O1507" s="20"/>
      <c r="P1507" s="20"/>
    </row>
    <row r="1508" customFormat="false" ht="14.25" hidden="false" customHeight="true" outlineLevel="0" collapsed="false">
      <c r="A1508" s="3" t="s">
        <v>1259</v>
      </c>
      <c r="B1508" s="3" t="s">
        <v>1260</v>
      </c>
      <c r="C1508" s="3" t="n">
        <v>226022</v>
      </c>
      <c r="D1508" s="3" t="s">
        <v>1276</v>
      </c>
      <c r="E1508" s="18" t="n">
        <v>45155</v>
      </c>
      <c r="F1508" s="3" t="s">
        <v>1262</v>
      </c>
      <c r="G1508" s="3" t="s">
        <v>5</v>
      </c>
      <c r="H1508" s="19"/>
      <c r="I1508" s="19"/>
      <c r="J1508" s="20"/>
      <c r="K1508" s="20"/>
      <c r="L1508" s="19"/>
      <c r="M1508" s="19"/>
      <c r="N1508" s="19"/>
      <c r="O1508" s="20"/>
      <c r="P1508" s="20"/>
    </row>
    <row r="1509" customFormat="false" ht="14.25" hidden="false" customHeight="true" outlineLevel="0" collapsed="false">
      <c r="A1509" s="3" t="s">
        <v>1259</v>
      </c>
      <c r="B1509" s="3" t="s">
        <v>1260</v>
      </c>
      <c r="C1509" s="3" t="n">
        <v>226022</v>
      </c>
      <c r="D1509" s="3" t="s">
        <v>1277</v>
      </c>
      <c r="E1509" s="18" t="n">
        <v>45167</v>
      </c>
      <c r="F1509" s="3" t="s">
        <v>1262</v>
      </c>
      <c r="G1509" s="3" t="s">
        <v>5</v>
      </c>
      <c r="H1509" s="19"/>
      <c r="I1509" s="19"/>
      <c r="J1509" s="20"/>
      <c r="K1509" s="20"/>
      <c r="L1509" s="19"/>
      <c r="M1509" s="19"/>
      <c r="N1509" s="19"/>
      <c r="O1509" s="20"/>
      <c r="P1509" s="20"/>
    </row>
    <row r="1510" customFormat="false" ht="14.25" hidden="false" customHeight="true" outlineLevel="0" collapsed="false">
      <c r="A1510" s="3" t="s">
        <v>1259</v>
      </c>
      <c r="B1510" s="3" t="s">
        <v>1260</v>
      </c>
      <c r="C1510" s="3" t="n">
        <v>226022</v>
      </c>
      <c r="D1510" s="3" t="s">
        <v>1278</v>
      </c>
      <c r="E1510" s="18" t="n">
        <v>45183</v>
      </c>
      <c r="F1510" s="3" t="s">
        <v>1262</v>
      </c>
      <c r="G1510" s="3" t="s">
        <v>5</v>
      </c>
      <c r="H1510" s="19"/>
      <c r="I1510" s="19"/>
      <c r="J1510" s="20"/>
      <c r="K1510" s="20"/>
      <c r="L1510" s="19"/>
      <c r="M1510" s="19"/>
      <c r="N1510" s="19"/>
      <c r="O1510" s="20"/>
      <c r="P1510" s="20"/>
    </row>
    <row r="1511" customFormat="false" ht="14.25" hidden="false" customHeight="true" outlineLevel="0" collapsed="false">
      <c r="A1511" s="3" t="s">
        <v>1259</v>
      </c>
      <c r="B1511" s="3" t="s">
        <v>1260</v>
      </c>
      <c r="C1511" s="3" t="n">
        <v>226022</v>
      </c>
      <c r="D1511" s="3" t="s">
        <v>1488</v>
      </c>
      <c r="E1511" s="18" t="n">
        <v>45184</v>
      </c>
      <c r="F1511" s="3" t="s">
        <v>1262</v>
      </c>
      <c r="G1511" s="3" t="s">
        <v>5</v>
      </c>
      <c r="H1511" s="19"/>
      <c r="I1511" s="19"/>
      <c r="J1511" s="20"/>
      <c r="K1511" s="20"/>
      <c r="L1511" s="19"/>
      <c r="M1511" s="19"/>
      <c r="N1511" s="19"/>
      <c r="O1511" s="20"/>
      <c r="P1511" s="20"/>
    </row>
    <row r="1512" customFormat="false" ht="14.25" hidden="false" customHeight="true" outlineLevel="0" collapsed="false">
      <c r="A1512" s="3" t="s">
        <v>1259</v>
      </c>
      <c r="B1512" s="3" t="s">
        <v>1260</v>
      </c>
      <c r="C1512" s="3" t="n">
        <v>226022</v>
      </c>
      <c r="D1512" s="3" t="s">
        <v>1489</v>
      </c>
      <c r="E1512" s="18" t="n">
        <v>45187</v>
      </c>
      <c r="F1512" s="3" t="s">
        <v>1262</v>
      </c>
      <c r="G1512" s="3" t="s">
        <v>5</v>
      </c>
      <c r="H1512" s="19"/>
      <c r="I1512" s="19"/>
      <c r="J1512" s="20"/>
      <c r="K1512" s="20"/>
      <c r="L1512" s="19"/>
      <c r="M1512" s="19"/>
      <c r="N1512" s="19"/>
      <c r="O1512" s="20"/>
      <c r="P1512" s="20"/>
    </row>
    <row r="1513" customFormat="false" ht="14.25" hidden="false" customHeight="true" outlineLevel="0" collapsed="false">
      <c r="A1513" s="3" t="s">
        <v>1259</v>
      </c>
      <c r="B1513" s="3" t="s">
        <v>1260</v>
      </c>
      <c r="C1513" s="3" t="n">
        <v>226022</v>
      </c>
      <c r="D1513" s="3" t="s">
        <v>1490</v>
      </c>
      <c r="E1513" s="18" t="n">
        <v>45190</v>
      </c>
      <c r="F1513" s="3" t="s">
        <v>1262</v>
      </c>
      <c r="G1513" s="3" t="s">
        <v>5</v>
      </c>
      <c r="H1513" s="19"/>
      <c r="I1513" s="19"/>
      <c r="J1513" s="20"/>
      <c r="K1513" s="20"/>
      <c r="L1513" s="19"/>
      <c r="M1513" s="19"/>
      <c r="N1513" s="19"/>
      <c r="O1513" s="20"/>
      <c r="P1513" s="20"/>
    </row>
    <row r="1514" customFormat="false" ht="14.25" hidden="false" customHeight="true" outlineLevel="0" collapsed="false">
      <c r="A1514" s="3" t="s">
        <v>1259</v>
      </c>
      <c r="B1514" s="3" t="s">
        <v>1260</v>
      </c>
      <c r="C1514" s="3" t="n">
        <v>226022</v>
      </c>
      <c r="D1514" s="3" t="s">
        <v>1279</v>
      </c>
      <c r="E1514" s="18" t="n">
        <v>45195</v>
      </c>
      <c r="F1514" s="3" t="s">
        <v>1262</v>
      </c>
      <c r="G1514" s="3" t="s">
        <v>5</v>
      </c>
      <c r="H1514" s="19"/>
      <c r="I1514" s="19"/>
      <c r="J1514" s="20"/>
      <c r="K1514" s="20"/>
      <c r="L1514" s="19"/>
      <c r="M1514" s="19"/>
      <c r="N1514" s="19"/>
      <c r="O1514" s="20"/>
      <c r="P1514" s="20"/>
    </row>
    <row r="1515" customFormat="false" ht="14.25" hidden="false" customHeight="true" outlineLevel="0" collapsed="false">
      <c r="A1515" s="3" t="s">
        <v>1259</v>
      </c>
      <c r="B1515" s="3" t="s">
        <v>1260</v>
      </c>
      <c r="C1515" s="3" t="n">
        <v>226022</v>
      </c>
      <c r="D1515" s="3" t="s">
        <v>1281</v>
      </c>
      <c r="E1515" s="18" t="n">
        <v>45209</v>
      </c>
      <c r="F1515" s="3" t="s">
        <v>1262</v>
      </c>
      <c r="G1515" s="3" t="s">
        <v>5</v>
      </c>
      <c r="H1515" s="19"/>
      <c r="I1515" s="19"/>
      <c r="J1515" s="20"/>
      <c r="K1515" s="20"/>
      <c r="L1515" s="19"/>
      <c r="M1515" s="19"/>
      <c r="N1515" s="19"/>
      <c r="O1515" s="20"/>
      <c r="P1515" s="20"/>
    </row>
    <row r="1516" customFormat="false" ht="14.25" hidden="false" customHeight="true" outlineLevel="0" collapsed="false">
      <c r="A1516" s="3" t="s">
        <v>1259</v>
      </c>
      <c r="B1516" s="3" t="s">
        <v>1260</v>
      </c>
      <c r="C1516" s="3" t="n">
        <v>226022</v>
      </c>
      <c r="D1516" s="3" t="s">
        <v>1327</v>
      </c>
      <c r="E1516" s="18" t="n">
        <v>45209</v>
      </c>
      <c r="F1516" s="3" t="s">
        <v>1262</v>
      </c>
      <c r="G1516" s="3" t="s">
        <v>1275</v>
      </c>
      <c r="H1516" s="19"/>
      <c r="I1516" s="19"/>
      <c r="J1516" s="20"/>
      <c r="K1516" s="20"/>
      <c r="L1516" s="19"/>
      <c r="M1516" s="19"/>
      <c r="N1516" s="19"/>
      <c r="O1516" s="20"/>
      <c r="P1516" s="20"/>
    </row>
    <row r="1517" customFormat="false" ht="14.25" hidden="false" customHeight="true" outlineLevel="0" collapsed="false">
      <c r="A1517" s="3" t="s">
        <v>1259</v>
      </c>
      <c r="B1517" s="3" t="s">
        <v>1260</v>
      </c>
      <c r="C1517" s="3" t="n">
        <v>226022</v>
      </c>
      <c r="D1517" s="3" t="s">
        <v>1511</v>
      </c>
      <c r="E1517" s="18" t="n">
        <v>45216</v>
      </c>
      <c r="F1517" s="3" t="s">
        <v>1262</v>
      </c>
      <c r="G1517" s="3" t="s">
        <v>1268</v>
      </c>
      <c r="H1517" s="19"/>
      <c r="I1517" s="19"/>
      <c r="J1517" s="20"/>
      <c r="K1517" s="20"/>
      <c r="L1517" s="19"/>
      <c r="M1517" s="19"/>
      <c r="N1517" s="19"/>
      <c r="O1517" s="20"/>
      <c r="P1517" s="20"/>
    </row>
    <row r="1518" customFormat="false" ht="14.25" hidden="false" customHeight="true" outlineLevel="0" collapsed="false">
      <c r="A1518" s="3" t="s">
        <v>1259</v>
      </c>
      <c r="B1518" s="3" t="s">
        <v>1260</v>
      </c>
      <c r="C1518" s="3" t="n">
        <v>226022</v>
      </c>
      <c r="D1518" s="3" t="s">
        <v>1282</v>
      </c>
      <c r="E1518" s="18" t="n">
        <v>45225</v>
      </c>
      <c r="F1518" s="3" t="s">
        <v>1262</v>
      </c>
      <c r="G1518" s="3" t="s">
        <v>5</v>
      </c>
      <c r="H1518" s="19"/>
      <c r="I1518" s="19"/>
      <c r="J1518" s="20"/>
      <c r="K1518" s="20"/>
      <c r="L1518" s="19"/>
      <c r="M1518" s="19"/>
      <c r="N1518" s="19"/>
      <c r="O1518" s="20"/>
      <c r="P1518" s="20"/>
    </row>
    <row r="1519" customFormat="false" ht="14.25" hidden="false" customHeight="true" outlineLevel="0" collapsed="false">
      <c r="A1519" s="3" t="s">
        <v>1259</v>
      </c>
      <c r="B1519" s="3" t="s">
        <v>1260</v>
      </c>
      <c r="C1519" s="3" t="n">
        <v>226022</v>
      </c>
      <c r="D1519" s="3" t="s">
        <v>1283</v>
      </c>
      <c r="E1519" s="18" t="n">
        <v>45239</v>
      </c>
      <c r="F1519" s="3" t="s">
        <v>1262</v>
      </c>
      <c r="G1519" s="3" t="s">
        <v>5</v>
      </c>
      <c r="H1519" s="19"/>
      <c r="I1519" s="19"/>
      <c r="J1519" s="20"/>
      <c r="K1519" s="20"/>
      <c r="L1519" s="19"/>
      <c r="M1519" s="19"/>
      <c r="N1519" s="19"/>
      <c r="O1519" s="20"/>
      <c r="P1519" s="20"/>
    </row>
    <row r="1520" customFormat="false" ht="14.25" hidden="false" customHeight="true" outlineLevel="0" collapsed="false">
      <c r="A1520" s="3" t="s">
        <v>1259</v>
      </c>
      <c r="B1520" s="3" t="s">
        <v>1260</v>
      </c>
      <c r="C1520" s="3" t="n">
        <v>226022</v>
      </c>
      <c r="D1520" s="3" t="s">
        <v>1284</v>
      </c>
      <c r="E1520" s="18" t="n">
        <v>45251</v>
      </c>
      <c r="F1520" s="3" t="s">
        <v>1262</v>
      </c>
      <c r="G1520" s="3" t="s">
        <v>5</v>
      </c>
      <c r="H1520" s="19"/>
      <c r="I1520" s="19"/>
      <c r="J1520" s="20"/>
      <c r="K1520" s="20"/>
      <c r="L1520" s="19"/>
      <c r="M1520" s="19"/>
      <c r="N1520" s="19"/>
      <c r="O1520" s="20"/>
      <c r="P1520" s="20"/>
    </row>
    <row r="1521" customFormat="false" ht="14.25" hidden="false" customHeight="true" outlineLevel="0" collapsed="false">
      <c r="A1521" s="3" t="s">
        <v>1259</v>
      </c>
      <c r="B1521" s="3" t="s">
        <v>1260</v>
      </c>
      <c r="C1521" s="3" t="n">
        <v>226022</v>
      </c>
      <c r="D1521" s="3" t="s">
        <v>1390</v>
      </c>
      <c r="E1521" s="18" t="n">
        <v>45259</v>
      </c>
      <c r="F1521" s="3" t="s">
        <v>1262</v>
      </c>
      <c r="G1521" s="3" t="s">
        <v>1275</v>
      </c>
      <c r="H1521" s="19"/>
      <c r="I1521" s="19"/>
      <c r="J1521" s="20"/>
      <c r="K1521" s="20"/>
      <c r="L1521" s="19"/>
      <c r="M1521" s="19"/>
      <c r="N1521" s="19"/>
      <c r="O1521" s="20"/>
      <c r="P1521" s="20"/>
    </row>
    <row r="1522" customFormat="false" ht="14.25" hidden="false" customHeight="true" outlineLevel="0" collapsed="false">
      <c r="A1522" s="3" t="s">
        <v>1259</v>
      </c>
      <c r="B1522" s="3" t="s">
        <v>1260</v>
      </c>
      <c r="C1522" s="3" t="n">
        <v>226022</v>
      </c>
      <c r="D1522" s="3" t="s">
        <v>1286</v>
      </c>
      <c r="E1522" s="18" t="n">
        <v>45265</v>
      </c>
      <c r="F1522" s="3" t="s">
        <v>1262</v>
      </c>
      <c r="G1522" s="3" t="s">
        <v>5</v>
      </c>
      <c r="H1522" s="19"/>
      <c r="I1522" s="19"/>
      <c r="J1522" s="20"/>
      <c r="K1522" s="20"/>
      <c r="L1522" s="19"/>
      <c r="M1522" s="19"/>
      <c r="N1522" s="19"/>
      <c r="O1522" s="20"/>
      <c r="P1522" s="20"/>
    </row>
    <row r="1523" customFormat="false" ht="14.25" hidden="false" customHeight="true" outlineLevel="0" collapsed="false">
      <c r="A1523" s="3" t="s">
        <v>1259</v>
      </c>
      <c r="B1523" s="3" t="s">
        <v>1260</v>
      </c>
      <c r="C1523" s="3" t="n">
        <v>226022</v>
      </c>
      <c r="D1523" s="3" t="s">
        <v>1287</v>
      </c>
      <c r="E1523" s="18" t="n">
        <v>45279</v>
      </c>
      <c r="F1523" s="3" t="s">
        <v>1262</v>
      </c>
      <c r="G1523" s="3" t="s">
        <v>5</v>
      </c>
      <c r="H1523" s="19"/>
      <c r="I1523" s="19"/>
      <c r="J1523" s="20"/>
      <c r="K1523" s="20"/>
      <c r="L1523" s="19"/>
      <c r="M1523" s="19"/>
      <c r="N1523" s="19"/>
      <c r="O1523" s="20"/>
      <c r="P1523" s="20"/>
    </row>
    <row r="1524" customFormat="false" ht="14.25" hidden="false" customHeight="true" outlineLevel="0" collapsed="false">
      <c r="A1524" s="3" t="s">
        <v>1259</v>
      </c>
      <c r="B1524" s="3" t="s">
        <v>1260</v>
      </c>
      <c r="C1524" s="3" t="n">
        <v>226022</v>
      </c>
      <c r="D1524" s="3" t="s">
        <v>1288</v>
      </c>
      <c r="E1524" s="18" t="n">
        <v>45295</v>
      </c>
      <c r="F1524" s="3" t="s">
        <v>1262</v>
      </c>
      <c r="G1524" s="3" t="s">
        <v>5</v>
      </c>
      <c r="H1524" s="19"/>
      <c r="I1524" s="19"/>
      <c r="J1524" s="20"/>
      <c r="K1524" s="20"/>
      <c r="L1524" s="19"/>
      <c r="M1524" s="19"/>
      <c r="N1524" s="19"/>
      <c r="O1524" s="20"/>
      <c r="P1524" s="20"/>
    </row>
    <row r="1525" customFormat="false" ht="14.25" hidden="false" customHeight="true" outlineLevel="0" collapsed="false">
      <c r="A1525" s="3" t="s">
        <v>1259</v>
      </c>
      <c r="B1525" s="3" t="s">
        <v>1260</v>
      </c>
      <c r="C1525" s="3" t="n">
        <v>226022</v>
      </c>
      <c r="D1525" s="3" t="s">
        <v>1289</v>
      </c>
      <c r="E1525" s="18" t="n">
        <v>45307</v>
      </c>
      <c r="F1525" s="3" t="s">
        <v>1262</v>
      </c>
      <c r="G1525" s="3" t="s">
        <v>5</v>
      </c>
      <c r="H1525" s="19"/>
      <c r="I1525" s="19"/>
      <c r="J1525" s="20"/>
      <c r="K1525" s="20"/>
      <c r="L1525" s="19"/>
      <c r="M1525" s="19"/>
      <c r="N1525" s="19"/>
      <c r="O1525" s="20"/>
      <c r="P1525" s="20"/>
    </row>
    <row r="1526" customFormat="false" ht="14.25" hidden="false" customHeight="true" outlineLevel="0" collapsed="false">
      <c r="A1526" s="3" t="s">
        <v>1259</v>
      </c>
      <c r="B1526" s="3" t="s">
        <v>1260</v>
      </c>
      <c r="C1526" s="3" t="n">
        <v>226022</v>
      </c>
      <c r="D1526" s="3" t="s">
        <v>1501</v>
      </c>
      <c r="E1526" s="18" t="n">
        <v>45315</v>
      </c>
      <c r="F1526" s="3" t="s">
        <v>1262</v>
      </c>
      <c r="G1526" s="3" t="s">
        <v>1275</v>
      </c>
      <c r="H1526" s="19"/>
      <c r="I1526" s="19"/>
      <c r="J1526" s="20"/>
      <c r="K1526" s="20"/>
      <c r="L1526" s="19"/>
      <c r="M1526" s="19"/>
      <c r="N1526" s="19"/>
      <c r="O1526" s="20"/>
      <c r="P1526" s="20"/>
    </row>
    <row r="1527" customFormat="false" ht="14.25" hidden="false" customHeight="true" outlineLevel="0" collapsed="false">
      <c r="A1527" s="3" t="s">
        <v>1259</v>
      </c>
      <c r="B1527" s="3" t="s">
        <v>1260</v>
      </c>
      <c r="C1527" s="3" t="n">
        <v>226022</v>
      </c>
      <c r="D1527" s="3" t="s">
        <v>1290</v>
      </c>
      <c r="E1527" s="18" t="n">
        <v>45321</v>
      </c>
      <c r="F1527" s="3" t="s">
        <v>1262</v>
      </c>
      <c r="G1527" s="3" t="s">
        <v>5</v>
      </c>
      <c r="H1527" s="19"/>
      <c r="I1527" s="19"/>
      <c r="J1527" s="20"/>
      <c r="K1527" s="20"/>
      <c r="L1527" s="19"/>
      <c r="M1527" s="19"/>
      <c r="N1527" s="19"/>
      <c r="O1527" s="20"/>
      <c r="P1527" s="20"/>
    </row>
    <row r="1528" customFormat="false" ht="14.25" hidden="false" customHeight="true" outlineLevel="0" collapsed="false">
      <c r="A1528" s="3" t="s">
        <v>1259</v>
      </c>
      <c r="B1528" s="3" t="s">
        <v>1260</v>
      </c>
      <c r="C1528" s="3" t="n">
        <v>226022</v>
      </c>
      <c r="D1528" s="3" t="s">
        <v>1292</v>
      </c>
      <c r="E1528" s="18" t="n">
        <v>45335</v>
      </c>
      <c r="F1528" s="3" t="s">
        <v>1262</v>
      </c>
      <c r="G1528" s="3" t="s">
        <v>5</v>
      </c>
      <c r="H1528" s="19"/>
      <c r="I1528" s="19"/>
      <c r="J1528" s="20"/>
      <c r="K1528" s="20"/>
      <c r="L1528" s="19"/>
      <c r="M1528" s="19"/>
      <c r="N1528" s="19"/>
      <c r="O1528" s="20"/>
      <c r="P1528" s="20"/>
    </row>
    <row r="1529" customFormat="false" ht="14.25" hidden="false" customHeight="true" outlineLevel="0" collapsed="false">
      <c r="A1529" s="3" t="s">
        <v>1259</v>
      </c>
      <c r="B1529" s="3" t="s">
        <v>1260</v>
      </c>
      <c r="C1529" s="3" t="n">
        <v>226022</v>
      </c>
      <c r="D1529" s="3" t="s">
        <v>1293</v>
      </c>
      <c r="E1529" s="18" t="n">
        <v>45349</v>
      </c>
      <c r="F1529" s="3" t="s">
        <v>1262</v>
      </c>
      <c r="G1529" s="3" t="s">
        <v>5</v>
      </c>
      <c r="H1529" s="19"/>
      <c r="I1529" s="19"/>
      <c r="J1529" s="20"/>
      <c r="K1529" s="20"/>
      <c r="L1529" s="19"/>
      <c r="M1529" s="19"/>
      <c r="N1529" s="19"/>
      <c r="O1529" s="20"/>
      <c r="P1529" s="20"/>
    </row>
    <row r="1530" customFormat="false" ht="14.25" hidden="false" customHeight="true" outlineLevel="0" collapsed="false">
      <c r="A1530" s="3" t="s">
        <v>1259</v>
      </c>
      <c r="B1530" s="3" t="s">
        <v>1260</v>
      </c>
      <c r="C1530" s="3" t="n">
        <v>226022</v>
      </c>
      <c r="D1530" s="3" t="s">
        <v>1294</v>
      </c>
      <c r="E1530" s="18" t="n">
        <v>45363</v>
      </c>
      <c r="F1530" s="3" t="s">
        <v>1262</v>
      </c>
      <c r="G1530" s="3" t="s">
        <v>5</v>
      </c>
      <c r="H1530" s="19"/>
      <c r="I1530" s="19"/>
      <c r="J1530" s="20"/>
      <c r="K1530" s="20"/>
      <c r="L1530" s="19"/>
      <c r="M1530" s="19"/>
      <c r="N1530" s="19"/>
      <c r="O1530" s="20"/>
      <c r="P1530" s="20"/>
    </row>
    <row r="1531" customFormat="false" ht="14.25" hidden="false" customHeight="true" outlineLevel="0" collapsed="false">
      <c r="A1531" s="3" t="s">
        <v>1259</v>
      </c>
      <c r="B1531" s="3" t="s">
        <v>1260</v>
      </c>
      <c r="C1531" s="3" t="n">
        <v>226022</v>
      </c>
      <c r="D1531" s="3" t="s">
        <v>1412</v>
      </c>
      <c r="E1531" s="18" t="n">
        <v>45371</v>
      </c>
      <c r="F1531" s="3" t="s">
        <v>1262</v>
      </c>
      <c r="G1531" s="3" t="s">
        <v>1275</v>
      </c>
      <c r="H1531" s="19"/>
      <c r="I1531" s="19"/>
      <c r="J1531" s="20"/>
      <c r="K1531" s="20"/>
      <c r="L1531" s="19"/>
      <c r="M1531" s="19"/>
      <c r="N1531" s="19"/>
      <c r="O1531" s="20"/>
      <c r="P1531" s="20"/>
    </row>
    <row r="1532" customFormat="false" ht="14.25" hidden="false" customHeight="true" outlineLevel="0" collapsed="false">
      <c r="A1532" s="3" t="s">
        <v>1259</v>
      </c>
      <c r="B1532" s="3" t="s">
        <v>1260</v>
      </c>
      <c r="C1532" s="3" t="n">
        <v>226022</v>
      </c>
      <c r="D1532" s="3" t="s">
        <v>1295</v>
      </c>
      <c r="E1532" s="18" t="n">
        <v>45377</v>
      </c>
      <c r="F1532" s="3" t="s">
        <v>1262</v>
      </c>
      <c r="G1532" s="3" t="s">
        <v>5</v>
      </c>
      <c r="H1532" s="19"/>
      <c r="I1532" s="19"/>
      <c r="J1532" s="20"/>
      <c r="K1532" s="20"/>
      <c r="L1532" s="19"/>
      <c r="M1532" s="19"/>
      <c r="N1532" s="19"/>
      <c r="O1532" s="20"/>
      <c r="P1532" s="20"/>
    </row>
    <row r="1533" customFormat="false" ht="14.25" hidden="false" customHeight="true" outlineLevel="0" collapsed="false">
      <c r="A1533" s="3" t="s">
        <v>1259</v>
      </c>
      <c r="B1533" s="3" t="s">
        <v>1260</v>
      </c>
      <c r="C1533" s="3" t="n">
        <v>226022</v>
      </c>
      <c r="D1533" s="3" t="s">
        <v>1297</v>
      </c>
      <c r="E1533" s="18" t="n">
        <v>45393</v>
      </c>
      <c r="F1533" s="3" t="s">
        <v>1262</v>
      </c>
      <c r="G1533" s="3" t="s">
        <v>5</v>
      </c>
      <c r="H1533" s="19"/>
      <c r="I1533" s="19"/>
      <c r="J1533" s="20"/>
      <c r="K1533" s="20"/>
      <c r="L1533" s="19"/>
      <c r="M1533" s="19"/>
      <c r="N1533" s="19"/>
      <c r="O1533" s="20"/>
      <c r="P1533" s="20"/>
    </row>
    <row r="1534" customFormat="false" ht="14.25" hidden="false" customHeight="true" outlineLevel="0" collapsed="false">
      <c r="A1534" s="3" t="s">
        <v>1259</v>
      </c>
      <c r="B1534" s="3" t="s">
        <v>1260</v>
      </c>
      <c r="C1534" s="3" t="n">
        <v>226022</v>
      </c>
      <c r="D1534" s="3" t="s">
        <v>1298</v>
      </c>
      <c r="E1534" s="18" t="n">
        <v>45405</v>
      </c>
      <c r="F1534" s="3" t="s">
        <v>1262</v>
      </c>
      <c r="G1534" s="3" t="s">
        <v>5</v>
      </c>
      <c r="H1534" s="19"/>
      <c r="I1534" s="19"/>
      <c r="J1534" s="20"/>
      <c r="K1534" s="20"/>
      <c r="L1534" s="19"/>
      <c r="M1534" s="19"/>
      <c r="N1534" s="19"/>
      <c r="O1534" s="20"/>
      <c r="P1534" s="20"/>
    </row>
    <row r="1535" customFormat="false" ht="14.25" hidden="false" customHeight="true" outlineLevel="0" collapsed="false">
      <c r="A1535" s="3" t="s">
        <v>1259</v>
      </c>
      <c r="B1535" s="3" t="s">
        <v>1260</v>
      </c>
      <c r="C1535" s="3" t="n">
        <v>226023</v>
      </c>
      <c r="D1535" s="3" t="s">
        <v>1261</v>
      </c>
      <c r="E1535" s="18" t="n">
        <v>45086</v>
      </c>
      <c r="F1535" s="3" t="s">
        <v>1262</v>
      </c>
      <c r="G1535" s="3" t="s">
        <v>5</v>
      </c>
      <c r="H1535" s="19" t="n">
        <v>45086</v>
      </c>
      <c r="I1535" s="19" t="n">
        <v>44957</v>
      </c>
      <c r="J1535" s="20" t="n">
        <v>64</v>
      </c>
      <c r="K1535" s="20" t="s">
        <v>1313</v>
      </c>
      <c r="L1535" s="19" t="s">
        <v>12</v>
      </c>
      <c r="M1535" s="19" t="s">
        <v>1334</v>
      </c>
      <c r="N1535" s="19"/>
      <c r="O1535" s="20"/>
      <c r="P1535" s="20"/>
    </row>
    <row r="1536" customFormat="false" ht="14.25" hidden="false" customHeight="true" outlineLevel="0" collapsed="false">
      <c r="A1536" s="3" t="s">
        <v>1259</v>
      </c>
      <c r="B1536" s="3" t="s">
        <v>1260</v>
      </c>
      <c r="C1536" s="3" t="n">
        <v>226023</v>
      </c>
      <c r="D1536" s="3" t="s">
        <v>1264</v>
      </c>
      <c r="E1536" s="18" t="n">
        <v>45097</v>
      </c>
      <c r="F1536" s="3" t="s">
        <v>1262</v>
      </c>
      <c r="G1536" s="3" t="s">
        <v>5</v>
      </c>
      <c r="H1536" s="19"/>
      <c r="I1536" s="19"/>
      <c r="J1536" s="20"/>
      <c r="K1536" s="20"/>
      <c r="L1536" s="19"/>
      <c r="M1536" s="19"/>
      <c r="N1536" s="19"/>
      <c r="O1536" s="20"/>
      <c r="P1536" s="20"/>
    </row>
    <row r="1537" customFormat="false" ht="14.25" hidden="false" customHeight="true" outlineLevel="0" collapsed="false">
      <c r="A1537" s="3" t="s">
        <v>1259</v>
      </c>
      <c r="B1537" s="3" t="s">
        <v>1260</v>
      </c>
      <c r="C1537" s="3" t="n">
        <v>226023</v>
      </c>
      <c r="D1537" s="3" t="s">
        <v>1265</v>
      </c>
      <c r="E1537" s="18" t="n">
        <v>45099</v>
      </c>
      <c r="F1537" s="3" t="s">
        <v>1262</v>
      </c>
      <c r="G1537" s="3" t="s">
        <v>5</v>
      </c>
      <c r="H1537" s="19"/>
      <c r="I1537" s="19"/>
      <c r="J1537" s="20"/>
      <c r="K1537" s="20"/>
      <c r="L1537" s="19"/>
      <c r="M1537" s="19"/>
      <c r="N1537" s="19"/>
      <c r="O1537" s="20"/>
      <c r="P1537" s="20"/>
    </row>
    <row r="1538" customFormat="false" ht="14.25" hidden="false" customHeight="true" outlineLevel="0" collapsed="false">
      <c r="A1538" s="3" t="s">
        <v>1259</v>
      </c>
      <c r="B1538" s="3" t="s">
        <v>1260</v>
      </c>
      <c r="C1538" s="3" t="n">
        <v>226023</v>
      </c>
      <c r="D1538" s="3" t="s">
        <v>1266</v>
      </c>
      <c r="E1538" s="18" t="n">
        <v>45104</v>
      </c>
      <c r="F1538" s="3" t="s">
        <v>1262</v>
      </c>
      <c r="G1538" s="3" t="s">
        <v>5</v>
      </c>
      <c r="H1538" s="19"/>
      <c r="I1538" s="19"/>
      <c r="J1538" s="20"/>
      <c r="K1538" s="20"/>
      <c r="L1538" s="19"/>
      <c r="M1538" s="19"/>
      <c r="N1538" s="19"/>
      <c r="O1538" s="20"/>
      <c r="P1538" s="20"/>
    </row>
    <row r="1539" customFormat="false" ht="14.25" hidden="false" customHeight="true" outlineLevel="0" collapsed="false">
      <c r="A1539" s="3" t="s">
        <v>1259</v>
      </c>
      <c r="B1539" s="3" t="s">
        <v>1260</v>
      </c>
      <c r="C1539" s="3" t="n">
        <v>226023</v>
      </c>
      <c r="D1539" s="3" t="s">
        <v>1269</v>
      </c>
      <c r="E1539" s="18" t="n">
        <v>45111</v>
      </c>
      <c r="F1539" s="3" t="s">
        <v>1262</v>
      </c>
      <c r="G1539" s="3" t="s">
        <v>5</v>
      </c>
      <c r="H1539" s="19"/>
      <c r="I1539" s="19"/>
      <c r="J1539" s="20"/>
      <c r="K1539" s="20"/>
      <c r="L1539" s="19"/>
      <c r="M1539" s="19"/>
      <c r="N1539" s="19"/>
      <c r="O1539" s="20"/>
      <c r="P1539" s="20"/>
    </row>
    <row r="1540" customFormat="false" ht="14.25" hidden="false" customHeight="true" outlineLevel="0" collapsed="false">
      <c r="A1540" s="3" t="s">
        <v>1259</v>
      </c>
      <c r="B1540" s="3" t="s">
        <v>1260</v>
      </c>
      <c r="C1540" s="3" t="n">
        <v>226023</v>
      </c>
      <c r="D1540" s="3" t="s">
        <v>1270</v>
      </c>
      <c r="E1540" s="18" t="n">
        <v>45118</v>
      </c>
      <c r="F1540" s="3" t="s">
        <v>1262</v>
      </c>
      <c r="G1540" s="3" t="s">
        <v>5</v>
      </c>
      <c r="H1540" s="19"/>
      <c r="I1540" s="19"/>
      <c r="J1540" s="20"/>
      <c r="K1540" s="20"/>
      <c r="L1540" s="19"/>
      <c r="M1540" s="19"/>
      <c r="N1540" s="19"/>
      <c r="O1540" s="20"/>
      <c r="P1540" s="20"/>
    </row>
    <row r="1541" customFormat="false" ht="14.25" hidden="false" customHeight="true" outlineLevel="0" collapsed="false">
      <c r="A1541" s="3" t="s">
        <v>1259</v>
      </c>
      <c r="B1541" s="3" t="s">
        <v>1260</v>
      </c>
      <c r="C1541" s="3" t="n">
        <v>226023</v>
      </c>
      <c r="D1541" s="3" t="s">
        <v>1271</v>
      </c>
      <c r="E1541" s="18" t="n">
        <v>45125</v>
      </c>
      <c r="F1541" s="3" t="s">
        <v>1262</v>
      </c>
      <c r="G1541" s="3" t="s">
        <v>5</v>
      </c>
      <c r="H1541" s="19"/>
      <c r="I1541" s="19"/>
      <c r="J1541" s="20"/>
      <c r="K1541" s="20"/>
      <c r="L1541" s="19"/>
      <c r="M1541" s="19"/>
      <c r="N1541" s="19"/>
      <c r="O1541" s="20"/>
      <c r="P1541" s="20"/>
    </row>
    <row r="1542" customFormat="false" ht="14.25" hidden="false" customHeight="true" outlineLevel="0" collapsed="false">
      <c r="A1542" s="3" t="s">
        <v>1259</v>
      </c>
      <c r="B1542" s="3" t="s">
        <v>1260</v>
      </c>
      <c r="C1542" s="3" t="n">
        <v>226023</v>
      </c>
      <c r="D1542" s="3" t="s">
        <v>1272</v>
      </c>
      <c r="E1542" s="18" t="n">
        <v>45127</v>
      </c>
      <c r="F1542" s="3" t="s">
        <v>1262</v>
      </c>
      <c r="G1542" s="3" t="s">
        <v>5</v>
      </c>
      <c r="H1542" s="19"/>
      <c r="I1542" s="19"/>
      <c r="J1542" s="20"/>
      <c r="K1542" s="20"/>
      <c r="L1542" s="19"/>
      <c r="M1542" s="19"/>
      <c r="N1542" s="19"/>
      <c r="O1542" s="20"/>
      <c r="P1542" s="20"/>
    </row>
    <row r="1543" customFormat="false" ht="14.25" hidden="false" customHeight="true" outlineLevel="0" collapsed="false">
      <c r="A1543" s="3" t="s">
        <v>1259</v>
      </c>
      <c r="B1543" s="3" t="s">
        <v>1260</v>
      </c>
      <c r="C1543" s="3" t="n">
        <v>226023</v>
      </c>
      <c r="D1543" s="3" t="s">
        <v>1512</v>
      </c>
      <c r="E1543" s="18" t="n">
        <v>45135</v>
      </c>
      <c r="F1543" s="3" t="s">
        <v>1262</v>
      </c>
      <c r="G1543" s="3" t="s">
        <v>1275</v>
      </c>
      <c r="H1543" s="19"/>
      <c r="I1543" s="19"/>
      <c r="J1543" s="20"/>
      <c r="K1543" s="20"/>
      <c r="L1543" s="19"/>
      <c r="M1543" s="19"/>
      <c r="N1543" s="19"/>
      <c r="O1543" s="20"/>
      <c r="P1543" s="20"/>
    </row>
    <row r="1544" customFormat="false" ht="14.25" hidden="false" customHeight="true" outlineLevel="0" collapsed="false">
      <c r="A1544" s="3" t="s">
        <v>1259</v>
      </c>
      <c r="B1544" s="3" t="s">
        <v>1260</v>
      </c>
      <c r="C1544" s="3" t="n">
        <v>226023</v>
      </c>
      <c r="D1544" s="3" t="s">
        <v>1273</v>
      </c>
      <c r="E1544" s="18" t="n">
        <v>45138</v>
      </c>
      <c r="F1544" s="3" t="s">
        <v>1262</v>
      </c>
      <c r="G1544" s="3" t="s">
        <v>5</v>
      </c>
      <c r="H1544" s="19"/>
      <c r="I1544" s="19"/>
      <c r="J1544" s="20"/>
      <c r="K1544" s="20"/>
      <c r="L1544" s="19"/>
      <c r="M1544" s="19"/>
      <c r="N1544" s="19"/>
      <c r="O1544" s="20"/>
      <c r="P1544" s="20"/>
    </row>
    <row r="1545" customFormat="false" ht="14.25" hidden="false" customHeight="true" outlineLevel="0" collapsed="false">
      <c r="A1545" s="3" t="s">
        <v>1259</v>
      </c>
      <c r="B1545" s="3" t="s">
        <v>1260</v>
      </c>
      <c r="C1545" s="3" t="n">
        <v>226023</v>
      </c>
      <c r="D1545" s="3" t="s">
        <v>1326</v>
      </c>
      <c r="E1545" s="18" t="n">
        <v>45152</v>
      </c>
      <c r="F1545" s="3" t="s">
        <v>1262</v>
      </c>
      <c r="G1545" s="3" t="s">
        <v>1275</v>
      </c>
      <c r="H1545" s="19"/>
      <c r="I1545" s="19"/>
      <c r="J1545" s="20"/>
      <c r="K1545" s="20"/>
      <c r="L1545" s="19"/>
      <c r="M1545" s="19"/>
      <c r="N1545" s="19"/>
      <c r="O1545" s="20"/>
      <c r="P1545" s="20"/>
    </row>
    <row r="1546" customFormat="false" ht="14.25" hidden="false" customHeight="true" outlineLevel="0" collapsed="false">
      <c r="A1546" s="3" t="s">
        <v>1259</v>
      </c>
      <c r="B1546" s="3" t="s">
        <v>1260</v>
      </c>
      <c r="C1546" s="3" t="n">
        <v>226023</v>
      </c>
      <c r="D1546" s="3" t="s">
        <v>1276</v>
      </c>
      <c r="E1546" s="18" t="n">
        <v>45155</v>
      </c>
      <c r="F1546" s="3" t="s">
        <v>1262</v>
      </c>
      <c r="G1546" s="3" t="s">
        <v>5</v>
      </c>
      <c r="H1546" s="19"/>
      <c r="I1546" s="19"/>
      <c r="J1546" s="20"/>
      <c r="K1546" s="20"/>
      <c r="L1546" s="19"/>
      <c r="M1546" s="19"/>
      <c r="N1546" s="19"/>
      <c r="O1546" s="20"/>
      <c r="P1546" s="20"/>
    </row>
    <row r="1547" customFormat="false" ht="14.25" hidden="false" customHeight="true" outlineLevel="0" collapsed="false">
      <c r="A1547" s="3" t="s">
        <v>1259</v>
      </c>
      <c r="B1547" s="3" t="s">
        <v>1260</v>
      </c>
      <c r="C1547" s="3" t="n">
        <v>226023</v>
      </c>
      <c r="D1547" s="3" t="s">
        <v>1277</v>
      </c>
      <c r="E1547" s="18" t="n">
        <v>45169</v>
      </c>
      <c r="F1547" s="3" t="s">
        <v>1262</v>
      </c>
      <c r="G1547" s="3" t="s">
        <v>5</v>
      </c>
      <c r="H1547" s="19"/>
      <c r="I1547" s="19"/>
      <c r="J1547" s="20"/>
      <c r="K1547" s="20"/>
      <c r="L1547" s="19"/>
      <c r="M1547" s="19"/>
      <c r="N1547" s="19"/>
      <c r="O1547" s="20"/>
      <c r="P1547" s="20"/>
    </row>
    <row r="1548" customFormat="false" ht="14.25" hidden="false" customHeight="true" outlineLevel="0" collapsed="false">
      <c r="A1548" s="3" t="s">
        <v>1259</v>
      </c>
      <c r="B1548" s="3" t="s">
        <v>1260</v>
      </c>
      <c r="C1548" s="3" t="n">
        <v>226023</v>
      </c>
      <c r="D1548" s="3" t="s">
        <v>1338</v>
      </c>
      <c r="E1548" s="18" t="n">
        <v>45250</v>
      </c>
      <c r="F1548" s="3" t="s">
        <v>1262</v>
      </c>
      <c r="G1548" s="3" t="s">
        <v>5</v>
      </c>
      <c r="H1548" s="19"/>
      <c r="I1548" s="19"/>
      <c r="J1548" s="20"/>
      <c r="K1548" s="20"/>
      <c r="L1548" s="19"/>
      <c r="M1548" s="19"/>
      <c r="N1548" s="19"/>
      <c r="O1548" s="20"/>
      <c r="P1548" s="20"/>
    </row>
    <row r="1549" customFormat="false" ht="14.25" hidden="false" customHeight="true" outlineLevel="0" collapsed="false">
      <c r="A1549" s="3" t="s">
        <v>1259</v>
      </c>
      <c r="B1549" s="3" t="s">
        <v>1260</v>
      </c>
      <c r="C1549" s="3" t="n">
        <v>226023</v>
      </c>
      <c r="D1549" s="3" t="s">
        <v>1339</v>
      </c>
      <c r="E1549" s="18" t="n">
        <v>45337</v>
      </c>
      <c r="F1549" s="3" t="s">
        <v>1262</v>
      </c>
      <c r="G1549" s="3" t="s">
        <v>5</v>
      </c>
      <c r="H1549" s="19"/>
      <c r="I1549" s="19"/>
      <c r="J1549" s="20"/>
      <c r="K1549" s="20"/>
      <c r="L1549" s="19"/>
      <c r="M1549" s="19"/>
      <c r="N1549" s="19"/>
      <c r="O1549" s="20"/>
      <c r="P1549" s="20"/>
    </row>
    <row r="1550" customFormat="false" ht="14.25" hidden="false" customHeight="true" outlineLevel="0" collapsed="false">
      <c r="A1550" s="3" t="s">
        <v>1259</v>
      </c>
      <c r="B1550" s="3" t="s">
        <v>1260</v>
      </c>
      <c r="C1550" s="3" t="n">
        <v>226023</v>
      </c>
      <c r="D1550" s="3" t="s">
        <v>1340</v>
      </c>
      <c r="E1550" s="18" t="n">
        <v>45434</v>
      </c>
      <c r="F1550" s="3" t="s">
        <v>1262</v>
      </c>
      <c r="G1550" s="3" t="s">
        <v>5</v>
      </c>
      <c r="H1550" s="19"/>
      <c r="I1550" s="19"/>
      <c r="J1550" s="20"/>
      <c r="K1550" s="20"/>
      <c r="L1550" s="19"/>
      <c r="M1550" s="19"/>
      <c r="N1550" s="19"/>
      <c r="O1550" s="20"/>
      <c r="P1550" s="20"/>
    </row>
    <row r="1551" customFormat="false" ht="14.25" hidden="false" customHeight="true" outlineLevel="0" collapsed="false">
      <c r="A1551" s="3" t="s">
        <v>1259</v>
      </c>
      <c r="B1551" s="3" t="s">
        <v>1260</v>
      </c>
      <c r="C1551" s="3" t="n">
        <v>226023</v>
      </c>
      <c r="D1551" s="3" t="s">
        <v>1278</v>
      </c>
      <c r="F1551" s="3" t="s">
        <v>1262</v>
      </c>
      <c r="G1551" s="3" t="s">
        <v>5</v>
      </c>
      <c r="H1551" s="19"/>
      <c r="I1551" s="19"/>
      <c r="J1551" s="20"/>
      <c r="K1551" s="20"/>
      <c r="L1551" s="19"/>
      <c r="M1551" s="19"/>
      <c r="N1551" s="19"/>
      <c r="O1551" s="20"/>
      <c r="P1551" s="20"/>
    </row>
    <row r="1552" customFormat="false" ht="14.25" hidden="false" customHeight="true" outlineLevel="0" collapsed="false">
      <c r="A1552" s="3" t="s">
        <v>1259</v>
      </c>
      <c r="B1552" s="3" t="s">
        <v>1260</v>
      </c>
      <c r="C1552" s="3" t="n">
        <v>226023</v>
      </c>
      <c r="D1552" s="3" t="s">
        <v>1488</v>
      </c>
      <c r="F1552" s="3" t="s">
        <v>1262</v>
      </c>
      <c r="G1552" s="3" t="s">
        <v>5</v>
      </c>
      <c r="H1552" s="19"/>
      <c r="I1552" s="19"/>
      <c r="J1552" s="20"/>
      <c r="K1552" s="20"/>
      <c r="L1552" s="19"/>
      <c r="M1552" s="19"/>
      <c r="N1552" s="19"/>
      <c r="O1552" s="20"/>
      <c r="P1552" s="20"/>
    </row>
    <row r="1553" customFormat="false" ht="14.25" hidden="false" customHeight="true" outlineLevel="0" collapsed="false">
      <c r="A1553" s="3" t="s">
        <v>1259</v>
      </c>
      <c r="B1553" s="3" t="s">
        <v>1260</v>
      </c>
      <c r="C1553" s="3" t="n">
        <v>226023</v>
      </c>
      <c r="D1553" s="3" t="s">
        <v>1489</v>
      </c>
      <c r="F1553" s="3" t="s">
        <v>1262</v>
      </c>
      <c r="G1553" s="3" t="s">
        <v>5</v>
      </c>
      <c r="H1553" s="19"/>
      <c r="I1553" s="19"/>
      <c r="J1553" s="20"/>
      <c r="K1553" s="20"/>
      <c r="L1553" s="19"/>
      <c r="M1553" s="19"/>
      <c r="N1553" s="19"/>
      <c r="O1553" s="20"/>
      <c r="P1553" s="20"/>
    </row>
    <row r="1554" customFormat="false" ht="14.25" hidden="false" customHeight="true" outlineLevel="0" collapsed="false">
      <c r="A1554" s="3" t="s">
        <v>1259</v>
      </c>
      <c r="B1554" s="3" t="s">
        <v>1260</v>
      </c>
      <c r="C1554" s="3" t="n">
        <v>226023</v>
      </c>
      <c r="D1554" s="3" t="s">
        <v>1490</v>
      </c>
      <c r="F1554" s="3" t="s">
        <v>1262</v>
      </c>
      <c r="G1554" s="3" t="s">
        <v>5</v>
      </c>
      <c r="H1554" s="19"/>
      <c r="I1554" s="19"/>
      <c r="J1554" s="20"/>
      <c r="K1554" s="20"/>
      <c r="L1554" s="19"/>
      <c r="M1554" s="19"/>
      <c r="N1554" s="19"/>
      <c r="O1554" s="20"/>
      <c r="P1554" s="20"/>
    </row>
    <row r="1555" customFormat="false" ht="14.25" hidden="false" customHeight="true" outlineLevel="0" collapsed="false">
      <c r="A1555" s="3" t="s">
        <v>1259</v>
      </c>
      <c r="B1555" s="3" t="s">
        <v>1260</v>
      </c>
      <c r="C1555" s="3" t="n">
        <v>226023</v>
      </c>
      <c r="D1555" s="3" t="s">
        <v>1279</v>
      </c>
      <c r="F1555" s="3" t="s">
        <v>1262</v>
      </c>
      <c r="G1555" s="3" t="s">
        <v>5</v>
      </c>
      <c r="H1555" s="19"/>
      <c r="I1555" s="19"/>
      <c r="J1555" s="20"/>
      <c r="K1555" s="20"/>
      <c r="L1555" s="19"/>
      <c r="M1555" s="19"/>
      <c r="N1555" s="19"/>
      <c r="O1555" s="20"/>
      <c r="P1555" s="20"/>
    </row>
    <row r="1556" customFormat="false" ht="14.25" hidden="false" customHeight="true" outlineLevel="0" collapsed="false">
      <c r="A1556" s="3" t="s">
        <v>1259</v>
      </c>
      <c r="B1556" s="3" t="s">
        <v>1260</v>
      </c>
      <c r="C1556" s="3" t="n">
        <v>226023</v>
      </c>
      <c r="D1556" s="3" t="s">
        <v>1281</v>
      </c>
      <c r="F1556" s="3" t="s">
        <v>1262</v>
      </c>
      <c r="G1556" s="3" t="s">
        <v>5</v>
      </c>
      <c r="H1556" s="19"/>
      <c r="I1556" s="19"/>
      <c r="J1556" s="20"/>
      <c r="K1556" s="20"/>
      <c r="L1556" s="19"/>
      <c r="M1556" s="19"/>
      <c r="N1556" s="19"/>
      <c r="O1556" s="20"/>
      <c r="P1556" s="20"/>
    </row>
    <row r="1557" customFormat="false" ht="14.25" hidden="false" customHeight="true" outlineLevel="0" collapsed="false">
      <c r="A1557" s="3" t="s">
        <v>1259</v>
      </c>
      <c r="B1557" s="3" t="s">
        <v>1260</v>
      </c>
      <c r="C1557" s="3" t="n">
        <v>226023</v>
      </c>
      <c r="D1557" s="3" t="s">
        <v>1282</v>
      </c>
      <c r="F1557" s="3" t="s">
        <v>1262</v>
      </c>
      <c r="G1557" s="3" t="s">
        <v>5</v>
      </c>
      <c r="H1557" s="19"/>
      <c r="I1557" s="19"/>
      <c r="J1557" s="20"/>
      <c r="K1557" s="20"/>
      <c r="L1557" s="19"/>
      <c r="M1557" s="19"/>
      <c r="N1557" s="19"/>
      <c r="O1557" s="20"/>
      <c r="P1557" s="20"/>
    </row>
    <row r="1558" customFormat="false" ht="14.25" hidden="false" customHeight="true" outlineLevel="0" collapsed="false">
      <c r="A1558" s="3" t="s">
        <v>1259</v>
      </c>
      <c r="B1558" s="3" t="s">
        <v>1260</v>
      </c>
      <c r="C1558" s="3" t="n">
        <v>226023</v>
      </c>
      <c r="D1558" s="3" t="s">
        <v>1376</v>
      </c>
      <c r="F1558" s="3" t="s">
        <v>1262</v>
      </c>
      <c r="G1558" s="3" t="s">
        <v>5</v>
      </c>
      <c r="H1558" s="19"/>
      <c r="I1558" s="19"/>
      <c r="J1558" s="20"/>
      <c r="K1558" s="20"/>
      <c r="L1558" s="19"/>
      <c r="M1558" s="19"/>
      <c r="N1558" s="19"/>
      <c r="O1558" s="20"/>
      <c r="P1558" s="20"/>
    </row>
    <row r="1559" customFormat="false" ht="14.25" hidden="false" customHeight="true" outlineLevel="0" collapsed="false">
      <c r="A1559" s="3" t="s">
        <v>1259</v>
      </c>
      <c r="B1559" s="3" t="s">
        <v>1260</v>
      </c>
      <c r="C1559" s="3" t="n">
        <v>226026</v>
      </c>
      <c r="D1559" s="3" t="s">
        <v>1261</v>
      </c>
      <c r="E1559" s="18" t="n">
        <v>45092</v>
      </c>
      <c r="F1559" s="3" t="s">
        <v>1262</v>
      </c>
      <c r="G1559" s="3" t="s">
        <v>5</v>
      </c>
      <c r="H1559" s="19" t="n">
        <v>45092</v>
      </c>
      <c r="I1559" s="19" t="n">
        <v>44957</v>
      </c>
      <c r="J1559" s="20" t="n">
        <v>49</v>
      </c>
      <c r="K1559" s="20" t="s">
        <v>1313</v>
      </c>
      <c r="L1559" s="19" t="s">
        <v>12</v>
      </c>
      <c r="M1559" s="19"/>
      <c r="N1559" s="19"/>
      <c r="O1559" s="20"/>
      <c r="P1559" s="20"/>
    </row>
    <row r="1560" customFormat="false" ht="14.25" hidden="false" customHeight="true" outlineLevel="0" collapsed="false">
      <c r="A1560" s="3" t="s">
        <v>1259</v>
      </c>
      <c r="B1560" s="3" t="s">
        <v>1260</v>
      </c>
      <c r="C1560" s="3" t="n">
        <v>226026</v>
      </c>
      <c r="D1560" s="3" t="s">
        <v>1264</v>
      </c>
      <c r="E1560" s="18" t="n">
        <v>45104</v>
      </c>
      <c r="F1560" s="3" t="s">
        <v>1262</v>
      </c>
      <c r="G1560" s="3" t="s">
        <v>5</v>
      </c>
      <c r="H1560" s="19"/>
      <c r="I1560" s="19"/>
      <c r="J1560" s="20"/>
      <c r="K1560" s="20"/>
      <c r="L1560" s="19"/>
      <c r="M1560" s="19"/>
      <c r="N1560" s="19"/>
      <c r="O1560" s="20"/>
      <c r="P1560" s="20"/>
    </row>
    <row r="1561" customFormat="false" ht="14.25" hidden="false" customHeight="true" outlineLevel="0" collapsed="false">
      <c r="A1561" s="3" t="s">
        <v>1259</v>
      </c>
      <c r="B1561" s="3" t="s">
        <v>1260</v>
      </c>
      <c r="C1561" s="3" t="n">
        <v>226026</v>
      </c>
      <c r="D1561" s="3" t="s">
        <v>1265</v>
      </c>
      <c r="E1561" s="18" t="n">
        <v>45106</v>
      </c>
      <c r="F1561" s="3" t="s">
        <v>1262</v>
      </c>
      <c r="G1561" s="3" t="s">
        <v>5</v>
      </c>
      <c r="H1561" s="19"/>
      <c r="I1561" s="19"/>
      <c r="J1561" s="20"/>
      <c r="K1561" s="20"/>
      <c r="L1561" s="19"/>
      <c r="M1561" s="19"/>
      <c r="N1561" s="19"/>
      <c r="O1561" s="20"/>
      <c r="P1561" s="20"/>
    </row>
    <row r="1562" customFormat="false" ht="14.25" hidden="false" customHeight="true" outlineLevel="0" collapsed="false">
      <c r="A1562" s="3" t="s">
        <v>1259</v>
      </c>
      <c r="B1562" s="3" t="s">
        <v>1260</v>
      </c>
      <c r="C1562" s="3" t="n">
        <v>226026</v>
      </c>
      <c r="D1562" s="3" t="s">
        <v>1266</v>
      </c>
      <c r="E1562" s="18" t="n">
        <v>45111</v>
      </c>
      <c r="F1562" s="3" t="s">
        <v>1262</v>
      </c>
      <c r="G1562" s="3" t="s">
        <v>5</v>
      </c>
      <c r="H1562" s="19"/>
      <c r="I1562" s="19"/>
      <c r="J1562" s="20"/>
      <c r="K1562" s="20"/>
      <c r="L1562" s="19"/>
      <c r="M1562" s="19"/>
      <c r="N1562" s="19"/>
      <c r="O1562" s="20"/>
      <c r="P1562" s="20"/>
    </row>
    <row r="1563" customFormat="false" ht="14.25" hidden="false" customHeight="true" outlineLevel="0" collapsed="false">
      <c r="A1563" s="3" t="s">
        <v>1259</v>
      </c>
      <c r="B1563" s="3" t="s">
        <v>1260</v>
      </c>
      <c r="C1563" s="3" t="n">
        <v>226026</v>
      </c>
      <c r="D1563" s="3" t="s">
        <v>1269</v>
      </c>
      <c r="E1563" s="18" t="n">
        <v>45118</v>
      </c>
      <c r="F1563" s="3" t="s">
        <v>1262</v>
      </c>
      <c r="G1563" s="3" t="s">
        <v>5</v>
      </c>
      <c r="H1563" s="19"/>
      <c r="I1563" s="19"/>
      <c r="J1563" s="20"/>
      <c r="K1563" s="20"/>
      <c r="L1563" s="19"/>
      <c r="M1563" s="19"/>
      <c r="N1563" s="19"/>
      <c r="O1563" s="20"/>
      <c r="P1563" s="20"/>
    </row>
    <row r="1564" customFormat="false" ht="14.25" hidden="false" customHeight="true" outlineLevel="0" collapsed="false">
      <c r="A1564" s="3" t="s">
        <v>1259</v>
      </c>
      <c r="B1564" s="3" t="s">
        <v>1260</v>
      </c>
      <c r="C1564" s="3" t="n">
        <v>226026</v>
      </c>
      <c r="D1564" s="3" t="s">
        <v>1270</v>
      </c>
      <c r="E1564" s="18" t="n">
        <v>45125</v>
      </c>
      <c r="F1564" s="3" t="s">
        <v>1262</v>
      </c>
      <c r="G1564" s="3" t="s">
        <v>5</v>
      </c>
      <c r="H1564" s="19"/>
      <c r="I1564" s="19"/>
      <c r="J1564" s="20"/>
      <c r="K1564" s="20"/>
      <c r="L1564" s="19"/>
      <c r="M1564" s="19"/>
      <c r="N1564" s="19"/>
      <c r="O1564" s="20"/>
      <c r="P1564" s="20"/>
    </row>
    <row r="1565" customFormat="false" ht="14.25" hidden="false" customHeight="true" outlineLevel="0" collapsed="false">
      <c r="A1565" s="3" t="s">
        <v>1259</v>
      </c>
      <c r="B1565" s="3" t="s">
        <v>1260</v>
      </c>
      <c r="C1565" s="3" t="n">
        <v>226026</v>
      </c>
      <c r="D1565" s="3" t="s">
        <v>1271</v>
      </c>
      <c r="E1565" s="18" t="n">
        <v>45132</v>
      </c>
      <c r="F1565" s="3" t="s">
        <v>1262</v>
      </c>
      <c r="G1565" s="3" t="s">
        <v>5</v>
      </c>
      <c r="H1565" s="19"/>
      <c r="I1565" s="19"/>
      <c r="J1565" s="20"/>
      <c r="K1565" s="20"/>
      <c r="L1565" s="19"/>
      <c r="M1565" s="19"/>
      <c r="N1565" s="19"/>
      <c r="O1565" s="20"/>
      <c r="P1565" s="20"/>
    </row>
    <row r="1566" customFormat="false" ht="14.25" hidden="false" customHeight="true" outlineLevel="0" collapsed="false">
      <c r="A1566" s="3" t="s">
        <v>1259</v>
      </c>
      <c r="B1566" s="3" t="s">
        <v>1260</v>
      </c>
      <c r="C1566" s="3" t="n">
        <v>226026</v>
      </c>
      <c r="D1566" s="3" t="s">
        <v>1272</v>
      </c>
      <c r="E1566" s="18" t="n">
        <v>45134</v>
      </c>
      <c r="F1566" s="3" t="s">
        <v>1262</v>
      </c>
      <c r="G1566" s="3" t="s">
        <v>5</v>
      </c>
      <c r="H1566" s="19"/>
      <c r="I1566" s="19"/>
      <c r="J1566" s="20"/>
      <c r="K1566" s="20"/>
      <c r="L1566" s="19"/>
      <c r="M1566" s="19"/>
      <c r="N1566" s="19"/>
      <c r="O1566" s="20"/>
      <c r="P1566" s="20"/>
    </row>
    <row r="1567" customFormat="false" ht="14.25" hidden="false" customHeight="true" outlineLevel="0" collapsed="false">
      <c r="A1567" s="3" t="s">
        <v>1259</v>
      </c>
      <c r="B1567" s="3" t="s">
        <v>1260</v>
      </c>
      <c r="C1567" s="3" t="n">
        <v>226026</v>
      </c>
      <c r="D1567" s="3" t="s">
        <v>1273</v>
      </c>
      <c r="E1567" s="18" t="n">
        <v>45147</v>
      </c>
      <c r="F1567" s="3" t="s">
        <v>1262</v>
      </c>
      <c r="G1567" s="3" t="s">
        <v>5</v>
      </c>
      <c r="H1567" s="19"/>
      <c r="I1567" s="19"/>
      <c r="J1567" s="20"/>
      <c r="K1567" s="20"/>
      <c r="L1567" s="19"/>
      <c r="M1567" s="19"/>
      <c r="N1567" s="19"/>
      <c r="O1567" s="20"/>
      <c r="P1567" s="20"/>
    </row>
    <row r="1568" customFormat="false" ht="14.25" hidden="false" customHeight="true" outlineLevel="0" collapsed="false">
      <c r="A1568" s="3" t="s">
        <v>1259</v>
      </c>
      <c r="B1568" s="3" t="s">
        <v>1260</v>
      </c>
      <c r="C1568" s="3" t="n">
        <v>226026</v>
      </c>
      <c r="D1568" s="3" t="s">
        <v>1469</v>
      </c>
      <c r="E1568" s="18" t="n">
        <v>45155</v>
      </c>
      <c r="F1568" s="3" t="s">
        <v>1262</v>
      </c>
      <c r="G1568" s="3" t="s">
        <v>1275</v>
      </c>
      <c r="H1568" s="19"/>
      <c r="I1568" s="19"/>
      <c r="J1568" s="20"/>
      <c r="K1568" s="20"/>
      <c r="L1568" s="19"/>
      <c r="M1568" s="19"/>
      <c r="N1568" s="19"/>
      <c r="O1568" s="20"/>
      <c r="P1568" s="20"/>
    </row>
    <row r="1569" customFormat="false" ht="14.25" hidden="false" customHeight="true" outlineLevel="0" collapsed="false">
      <c r="A1569" s="3" t="s">
        <v>1259</v>
      </c>
      <c r="B1569" s="3" t="s">
        <v>1260</v>
      </c>
      <c r="C1569" s="3" t="n">
        <v>226026</v>
      </c>
      <c r="D1569" s="3" t="s">
        <v>1276</v>
      </c>
      <c r="E1569" s="18" t="n">
        <v>45161</v>
      </c>
      <c r="F1569" s="3" t="s">
        <v>1262</v>
      </c>
      <c r="G1569" s="3" t="s">
        <v>5</v>
      </c>
      <c r="H1569" s="19"/>
      <c r="I1569" s="19"/>
      <c r="J1569" s="20"/>
      <c r="K1569" s="20"/>
      <c r="L1569" s="19"/>
      <c r="M1569" s="19"/>
      <c r="N1569" s="19"/>
      <c r="O1569" s="20"/>
      <c r="P1569" s="20"/>
    </row>
    <row r="1570" customFormat="false" ht="14.25" hidden="false" customHeight="true" outlineLevel="0" collapsed="false">
      <c r="A1570" s="3" t="s">
        <v>1259</v>
      </c>
      <c r="B1570" s="3" t="s">
        <v>1260</v>
      </c>
      <c r="C1570" s="3" t="n">
        <v>226026</v>
      </c>
      <c r="D1570" s="3" t="s">
        <v>1277</v>
      </c>
      <c r="E1570" s="18" t="n">
        <v>45175</v>
      </c>
      <c r="F1570" s="3" t="s">
        <v>1262</v>
      </c>
      <c r="G1570" s="3" t="s">
        <v>5</v>
      </c>
      <c r="H1570" s="19"/>
      <c r="I1570" s="19"/>
      <c r="J1570" s="20"/>
      <c r="K1570" s="20"/>
      <c r="L1570" s="19"/>
      <c r="M1570" s="19"/>
      <c r="N1570" s="19"/>
      <c r="O1570" s="20"/>
      <c r="P1570" s="20"/>
    </row>
    <row r="1571" customFormat="false" ht="14.25" hidden="false" customHeight="true" outlineLevel="0" collapsed="false">
      <c r="A1571" s="3" t="s">
        <v>1259</v>
      </c>
      <c r="B1571" s="3" t="s">
        <v>1260</v>
      </c>
      <c r="C1571" s="3" t="n">
        <v>226026</v>
      </c>
      <c r="D1571" s="3" t="s">
        <v>1278</v>
      </c>
      <c r="E1571" s="18" t="n">
        <v>45189</v>
      </c>
      <c r="F1571" s="3" t="s">
        <v>1262</v>
      </c>
      <c r="G1571" s="3" t="s">
        <v>5</v>
      </c>
      <c r="H1571" s="19"/>
      <c r="I1571" s="19"/>
      <c r="J1571" s="20"/>
      <c r="K1571" s="20"/>
      <c r="L1571" s="19"/>
      <c r="M1571" s="19"/>
      <c r="N1571" s="19"/>
      <c r="O1571" s="20"/>
      <c r="P1571" s="20"/>
    </row>
    <row r="1572" customFormat="false" ht="14.25" hidden="false" customHeight="true" outlineLevel="0" collapsed="false">
      <c r="A1572" s="3" t="s">
        <v>1259</v>
      </c>
      <c r="B1572" s="3" t="s">
        <v>1260</v>
      </c>
      <c r="C1572" s="3" t="n">
        <v>226026</v>
      </c>
      <c r="D1572" s="3" t="s">
        <v>1279</v>
      </c>
      <c r="E1572" s="18" t="n">
        <v>45203</v>
      </c>
      <c r="F1572" s="3" t="s">
        <v>1262</v>
      </c>
      <c r="G1572" s="3" t="s">
        <v>5</v>
      </c>
      <c r="H1572" s="19"/>
      <c r="I1572" s="19"/>
      <c r="J1572" s="20"/>
      <c r="K1572" s="20"/>
      <c r="L1572" s="19"/>
      <c r="M1572" s="19"/>
      <c r="N1572" s="19"/>
      <c r="O1572" s="20"/>
      <c r="P1572" s="20"/>
    </row>
    <row r="1573" customFormat="false" ht="14.25" hidden="false" customHeight="true" outlineLevel="0" collapsed="false">
      <c r="A1573" s="3" t="s">
        <v>1259</v>
      </c>
      <c r="B1573" s="3" t="s">
        <v>1260</v>
      </c>
      <c r="C1573" s="3" t="n">
        <v>226026</v>
      </c>
      <c r="D1573" s="3" t="s">
        <v>1513</v>
      </c>
      <c r="E1573" s="18" t="n">
        <v>45212</v>
      </c>
      <c r="F1573" s="3" t="s">
        <v>1262</v>
      </c>
      <c r="G1573" s="3" t="s">
        <v>1275</v>
      </c>
      <c r="H1573" s="19"/>
      <c r="I1573" s="19"/>
      <c r="J1573" s="20"/>
      <c r="K1573" s="20"/>
      <c r="L1573" s="19"/>
      <c r="M1573" s="19"/>
      <c r="N1573" s="19"/>
      <c r="O1573" s="20"/>
      <c r="P1573" s="20"/>
    </row>
    <row r="1574" customFormat="false" ht="14.25" hidden="false" customHeight="true" outlineLevel="0" collapsed="false">
      <c r="A1574" s="3" t="s">
        <v>1259</v>
      </c>
      <c r="B1574" s="3" t="s">
        <v>1260</v>
      </c>
      <c r="C1574" s="3" t="n">
        <v>226026</v>
      </c>
      <c r="D1574" s="3" t="s">
        <v>1281</v>
      </c>
      <c r="E1574" s="18" t="n">
        <v>45217</v>
      </c>
      <c r="F1574" s="3" t="s">
        <v>1262</v>
      </c>
      <c r="G1574" s="3" t="s">
        <v>5</v>
      </c>
      <c r="H1574" s="19"/>
      <c r="I1574" s="19"/>
      <c r="J1574" s="20"/>
      <c r="K1574" s="20"/>
      <c r="L1574" s="19"/>
      <c r="M1574" s="19"/>
      <c r="N1574" s="19"/>
      <c r="O1574" s="20"/>
      <c r="P1574" s="20"/>
    </row>
    <row r="1575" customFormat="false" ht="14.25" hidden="false" customHeight="true" outlineLevel="0" collapsed="false">
      <c r="A1575" s="3" t="s">
        <v>1259</v>
      </c>
      <c r="B1575" s="3" t="s">
        <v>1260</v>
      </c>
      <c r="C1575" s="3" t="n">
        <v>226026</v>
      </c>
      <c r="D1575" s="3" t="s">
        <v>1282</v>
      </c>
      <c r="E1575" s="18" t="n">
        <v>45231</v>
      </c>
      <c r="F1575" s="3" t="s">
        <v>1262</v>
      </c>
      <c r="G1575" s="3" t="s">
        <v>5</v>
      </c>
      <c r="H1575" s="19"/>
      <c r="I1575" s="19"/>
      <c r="J1575" s="20"/>
      <c r="K1575" s="20"/>
      <c r="L1575" s="19"/>
      <c r="M1575" s="19"/>
      <c r="N1575" s="19"/>
      <c r="O1575" s="20"/>
      <c r="P1575" s="20"/>
    </row>
    <row r="1576" customFormat="false" ht="14.25" hidden="false" customHeight="true" outlineLevel="0" collapsed="false">
      <c r="A1576" s="3" t="s">
        <v>1259</v>
      </c>
      <c r="B1576" s="3" t="s">
        <v>1260</v>
      </c>
      <c r="C1576" s="3" t="n">
        <v>226026</v>
      </c>
      <c r="D1576" s="3" t="s">
        <v>1283</v>
      </c>
      <c r="E1576" s="18" t="n">
        <v>45245</v>
      </c>
      <c r="F1576" s="3" t="s">
        <v>1262</v>
      </c>
      <c r="G1576" s="3" t="s">
        <v>5</v>
      </c>
      <c r="H1576" s="19"/>
      <c r="I1576" s="19"/>
      <c r="J1576" s="20"/>
      <c r="K1576" s="20"/>
      <c r="L1576" s="19"/>
      <c r="M1576" s="19"/>
      <c r="N1576" s="19"/>
      <c r="O1576" s="20"/>
      <c r="P1576" s="20"/>
    </row>
    <row r="1577" customFormat="false" ht="14.25" hidden="false" customHeight="true" outlineLevel="0" collapsed="false">
      <c r="A1577" s="3" t="s">
        <v>1259</v>
      </c>
      <c r="B1577" s="3" t="s">
        <v>1260</v>
      </c>
      <c r="C1577" s="3" t="n">
        <v>226026</v>
      </c>
      <c r="D1577" s="3" t="s">
        <v>1284</v>
      </c>
      <c r="E1577" s="18" t="n">
        <v>45259</v>
      </c>
      <c r="F1577" s="3" t="s">
        <v>1262</v>
      </c>
      <c r="G1577" s="3" t="s">
        <v>5</v>
      </c>
      <c r="H1577" s="19"/>
      <c r="I1577" s="19"/>
      <c r="J1577" s="20"/>
      <c r="K1577" s="20"/>
      <c r="L1577" s="19"/>
      <c r="M1577" s="19"/>
      <c r="N1577" s="19"/>
      <c r="O1577" s="20"/>
      <c r="P1577" s="20"/>
    </row>
    <row r="1578" customFormat="false" ht="14.25" hidden="false" customHeight="true" outlineLevel="0" collapsed="false">
      <c r="A1578" s="3" t="s">
        <v>1259</v>
      </c>
      <c r="B1578" s="3" t="s">
        <v>1260</v>
      </c>
      <c r="C1578" s="3" t="n">
        <v>226026</v>
      </c>
      <c r="D1578" s="3" t="s">
        <v>1286</v>
      </c>
      <c r="E1578" s="18" t="n">
        <v>45273</v>
      </c>
      <c r="F1578" s="3" t="s">
        <v>1262</v>
      </c>
      <c r="G1578" s="3" t="s">
        <v>5</v>
      </c>
      <c r="H1578" s="19"/>
      <c r="I1578" s="19"/>
      <c r="J1578" s="20"/>
      <c r="K1578" s="20"/>
      <c r="L1578" s="19"/>
      <c r="M1578" s="19"/>
      <c r="N1578" s="19"/>
      <c r="O1578" s="20"/>
      <c r="P1578" s="20"/>
    </row>
    <row r="1579" customFormat="false" ht="14.25" hidden="false" customHeight="true" outlineLevel="0" collapsed="false">
      <c r="A1579" s="3" t="s">
        <v>1259</v>
      </c>
      <c r="B1579" s="3" t="s">
        <v>1260</v>
      </c>
      <c r="C1579" s="3" t="n">
        <v>226026</v>
      </c>
      <c r="D1579" s="3" t="s">
        <v>1439</v>
      </c>
      <c r="E1579" s="18" t="n">
        <v>45273</v>
      </c>
      <c r="F1579" s="3" t="s">
        <v>1262</v>
      </c>
      <c r="G1579" s="3" t="s">
        <v>1275</v>
      </c>
      <c r="H1579" s="19"/>
      <c r="I1579" s="19"/>
      <c r="J1579" s="20"/>
      <c r="K1579" s="20"/>
      <c r="L1579" s="19"/>
      <c r="M1579" s="19"/>
      <c r="N1579" s="19"/>
      <c r="O1579" s="20"/>
      <c r="P1579" s="20"/>
    </row>
    <row r="1580" customFormat="false" ht="14.25" hidden="false" customHeight="true" outlineLevel="0" collapsed="false">
      <c r="A1580" s="3" t="s">
        <v>1259</v>
      </c>
      <c r="B1580" s="3" t="s">
        <v>1260</v>
      </c>
      <c r="C1580" s="3" t="n">
        <v>226026</v>
      </c>
      <c r="D1580" s="3" t="s">
        <v>1287</v>
      </c>
      <c r="E1580" s="18" t="n">
        <v>45287</v>
      </c>
      <c r="F1580" s="3" t="s">
        <v>1262</v>
      </c>
      <c r="G1580" s="3" t="s">
        <v>5</v>
      </c>
      <c r="H1580" s="19"/>
      <c r="I1580" s="19"/>
      <c r="J1580" s="20"/>
      <c r="K1580" s="20"/>
      <c r="L1580" s="19"/>
      <c r="M1580" s="19"/>
      <c r="N1580" s="19"/>
      <c r="O1580" s="20"/>
      <c r="P1580" s="20"/>
    </row>
    <row r="1581" customFormat="false" ht="14.25" hidden="false" customHeight="true" outlineLevel="0" collapsed="false">
      <c r="A1581" s="3" t="s">
        <v>1259</v>
      </c>
      <c r="B1581" s="3" t="s">
        <v>1260</v>
      </c>
      <c r="C1581" s="3" t="n">
        <v>226026</v>
      </c>
      <c r="D1581" s="3" t="s">
        <v>1288</v>
      </c>
      <c r="E1581" s="18" t="n">
        <v>45301</v>
      </c>
      <c r="F1581" s="3" t="s">
        <v>1262</v>
      </c>
      <c r="G1581" s="3" t="s">
        <v>5</v>
      </c>
      <c r="H1581" s="19"/>
      <c r="I1581" s="19"/>
      <c r="J1581" s="20"/>
      <c r="K1581" s="20"/>
      <c r="L1581" s="19"/>
      <c r="M1581" s="19"/>
      <c r="N1581" s="19"/>
      <c r="O1581" s="20"/>
      <c r="P1581" s="20"/>
    </row>
    <row r="1582" customFormat="false" ht="14.25" hidden="false" customHeight="true" outlineLevel="0" collapsed="false">
      <c r="A1582" s="3" t="s">
        <v>1259</v>
      </c>
      <c r="B1582" s="3" t="s">
        <v>1260</v>
      </c>
      <c r="C1582" s="3" t="n">
        <v>226026</v>
      </c>
      <c r="D1582" s="3" t="s">
        <v>1289</v>
      </c>
      <c r="E1582" s="18" t="n">
        <v>45315</v>
      </c>
      <c r="F1582" s="3" t="s">
        <v>1262</v>
      </c>
      <c r="G1582" s="3" t="s">
        <v>5</v>
      </c>
      <c r="H1582" s="19"/>
      <c r="I1582" s="19"/>
      <c r="J1582" s="20"/>
      <c r="K1582" s="20"/>
      <c r="L1582" s="19"/>
      <c r="M1582" s="19"/>
      <c r="N1582" s="19"/>
      <c r="O1582" s="20"/>
      <c r="P1582" s="20"/>
    </row>
    <row r="1583" customFormat="false" ht="14.25" hidden="false" customHeight="true" outlineLevel="0" collapsed="false">
      <c r="A1583" s="3" t="s">
        <v>1259</v>
      </c>
      <c r="B1583" s="3" t="s">
        <v>1260</v>
      </c>
      <c r="C1583" s="3" t="n">
        <v>226026</v>
      </c>
      <c r="D1583" s="3" t="s">
        <v>1290</v>
      </c>
      <c r="E1583" s="18" t="n">
        <v>45329</v>
      </c>
      <c r="F1583" s="3" t="s">
        <v>1262</v>
      </c>
      <c r="G1583" s="3" t="s">
        <v>5</v>
      </c>
      <c r="H1583" s="19"/>
      <c r="I1583" s="19"/>
      <c r="J1583" s="20"/>
      <c r="K1583" s="20"/>
      <c r="L1583" s="19"/>
      <c r="M1583" s="19"/>
      <c r="N1583" s="19"/>
      <c r="O1583" s="20"/>
      <c r="P1583" s="20"/>
    </row>
    <row r="1584" customFormat="false" ht="14.25" hidden="false" customHeight="true" outlineLevel="0" collapsed="false">
      <c r="A1584" s="3" t="s">
        <v>1259</v>
      </c>
      <c r="B1584" s="3" t="s">
        <v>1260</v>
      </c>
      <c r="C1584" s="3" t="n">
        <v>226026</v>
      </c>
      <c r="D1584" s="3" t="s">
        <v>1411</v>
      </c>
      <c r="E1584" s="18" t="n">
        <v>45329</v>
      </c>
      <c r="F1584" s="3" t="s">
        <v>1262</v>
      </c>
      <c r="G1584" s="3" t="s">
        <v>1275</v>
      </c>
      <c r="H1584" s="19"/>
      <c r="I1584" s="19"/>
      <c r="J1584" s="20"/>
      <c r="K1584" s="20"/>
      <c r="L1584" s="19"/>
      <c r="M1584" s="19"/>
      <c r="N1584" s="19"/>
      <c r="O1584" s="20"/>
      <c r="P1584" s="20"/>
    </row>
    <row r="1585" customFormat="false" ht="14.25" hidden="false" customHeight="true" outlineLevel="0" collapsed="false">
      <c r="A1585" s="3" t="s">
        <v>1259</v>
      </c>
      <c r="B1585" s="3" t="s">
        <v>1260</v>
      </c>
      <c r="C1585" s="3" t="n">
        <v>226026</v>
      </c>
      <c r="D1585" s="3" t="s">
        <v>1292</v>
      </c>
      <c r="E1585" s="18" t="n">
        <v>45343</v>
      </c>
      <c r="F1585" s="3" t="s">
        <v>1262</v>
      </c>
      <c r="G1585" s="3" t="s">
        <v>5</v>
      </c>
      <c r="H1585" s="19"/>
      <c r="I1585" s="19"/>
      <c r="J1585" s="20"/>
      <c r="K1585" s="20"/>
      <c r="L1585" s="19"/>
      <c r="M1585" s="19"/>
      <c r="N1585" s="19"/>
      <c r="O1585" s="20"/>
      <c r="P1585" s="20"/>
    </row>
    <row r="1586" customFormat="false" ht="14.25" hidden="false" customHeight="true" outlineLevel="0" collapsed="false">
      <c r="A1586" s="3" t="s">
        <v>1259</v>
      </c>
      <c r="B1586" s="3" t="s">
        <v>1260</v>
      </c>
      <c r="C1586" s="3" t="n">
        <v>226026</v>
      </c>
      <c r="D1586" s="3" t="s">
        <v>1293</v>
      </c>
      <c r="E1586" s="18" t="n">
        <v>45357</v>
      </c>
      <c r="F1586" s="3" t="s">
        <v>1262</v>
      </c>
      <c r="G1586" s="3" t="s">
        <v>5</v>
      </c>
      <c r="H1586" s="19"/>
      <c r="I1586" s="19"/>
      <c r="J1586" s="20"/>
      <c r="K1586" s="20"/>
      <c r="L1586" s="19"/>
      <c r="M1586" s="19"/>
      <c r="N1586" s="19"/>
      <c r="O1586" s="20"/>
      <c r="P1586" s="20"/>
    </row>
    <row r="1587" customFormat="false" ht="14.25" hidden="false" customHeight="true" outlineLevel="0" collapsed="false">
      <c r="A1587" s="3" t="s">
        <v>1259</v>
      </c>
      <c r="B1587" s="3" t="s">
        <v>1260</v>
      </c>
      <c r="C1587" s="3" t="n">
        <v>226026</v>
      </c>
      <c r="D1587" s="3" t="s">
        <v>1294</v>
      </c>
      <c r="E1587" s="18" t="n">
        <v>45371</v>
      </c>
      <c r="F1587" s="3" t="s">
        <v>1262</v>
      </c>
      <c r="G1587" s="3" t="s">
        <v>5</v>
      </c>
      <c r="H1587" s="19"/>
      <c r="I1587" s="19"/>
      <c r="J1587" s="20"/>
      <c r="K1587" s="20"/>
      <c r="L1587" s="19"/>
      <c r="M1587" s="19"/>
      <c r="N1587" s="19"/>
      <c r="O1587" s="20"/>
      <c r="P1587" s="20"/>
    </row>
    <row r="1588" customFormat="false" ht="14.25" hidden="false" customHeight="true" outlineLevel="0" collapsed="false">
      <c r="A1588" s="3" t="s">
        <v>1259</v>
      </c>
      <c r="B1588" s="3" t="s">
        <v>1260</v>
      </c>
      <c r="C1588" s="3" t="n">
        <v>226026</v>
      </c>
      <c r="D1588" s="3" t="s">
        <v>1295</v>
      </c>
      <c r="E1588" s="18" t="n">
        <v>45385</v>
      </c>
      <c r="F1588" s="3" t="s">
        <v>1262</v>
      </c>
      <c r="G1588" s="3" t="s">
        <v>5</v>
      </c>
      <c r="H1588" s="19"/>
      <c r="I1588" s="19"/>
      <c r="J1588" s="20"/>
      <c r="K1588" s="20"/>
      <c r="L1588" s="19"/>
      <c r="M1588" s="19"/>
      <c r="N1588" s="19"/>
      <c r="O1588" s="20"/>
      <c r="P1588" s="20"/>
    </row>
    <row r="1589" customFormat="false" ht="14.25" hidden="false" customHeight="true" outlineLevel="0" collapsed="false">
      <c r="A1589" s="3" t="s">
        <v>1259</v>
      </c>
      <c r="B1589" s="3" t="s">
        <v>1260</v>
      </c>
      <c r="C1589" s="3" t="n">
        <v>226026</v>
      </c>
      <c r="D1589" s="3" t="s">
        <v>1446</v>
      </c>
      <c r="E1589" s="18" t="n">
        <v>45385</v>
      </c>
      <c r="F1589" s="3" t="s">
        <v>1262</v>
      </c>
      <c r="G1589" s="3" t="s">
        <v>1275</v>
      </c>
      <c r="H1589" s="19"/>
      <c r="I1589" s="19"/>
      <c r="J1589" s="20"/>
      <c r="K1589" s="20"/>
      <c r="L1589" s="19"/>
      <c r="M1589" s="19"/>
      <c r="N1589" s="19"/>
      <c r="O1589" s="20"/>
      <c r="P1589" s="20"/>
    </row>
    <row r="1590" customFormat="false" ht="14.25" hidden="false" customHeight="true" outlineLevel="0" collapsed="false">
      <c r="A1590" s="3" t="s">
        <v>1259</v>
      </c>
      <c r="B1590" s="3" t="s">
        <v>1260</v>
      </c>
      <c r="C1590" s="3" t="n">
        <v>226026</v>
      </c>
      <c r="D1590" s="3" t="s">
        <v>1297</v>
      </c>
      <c r="E1590" s="18" t="n">
        <v>45399</v>
      </c>
      <c r="F1590" s="3" t="s">
        <v>1262</v>
      </c>
      <c r="G1590" s="3" t="s">
        <v>5</v>
      </c>
      <c r="H1590" s="19"/>
      <c r="I1590" s="19"/>
      <c r="J1590" s="20"/>
      <c r="K1590" s="20"/>
      <c r="L1590" s="19"/>
      <c r="M1590" s="19"/>
      <c r="N1590" s="19"/>
      <c r="O1590" s="20"/>
      <c r="P1590" s="20"/>
    </row>
    <row r="1591" customFormat="false" ht="14.25" hidden="false" customHeight="true" outlineLevel="0" collapsed="false">
      <c r="A1591" s="3" t="s">
        <v>1259</v>
      </c>
      <c r="B1591" s="3" t="s">
        <v>1260</v>
      </c>
      <c r="C1591" s="3" t="n">
        <v>226026</v>
      </c>
      <c r="D1591" s="3" t="s">
        <v>1298</v>
      </c>
      <c r="E1591" s="18" t="n">
        <v>45414</v>
      </c>
      <c r="F1591" s="3" t="s">
        <v>1262</v>
      </c>
      <c r="G1591" s="3" t="s">
        <v>5</v>
      </c>
      <c r="H1591" s="19"/>
      <c r="I1591" s="19"/>
      <c r="J1591" s="20"/>
      <c r="K1591" s="20"/>
      <c r="L1591" s="19"/>
      <c r="M1591" s="19"/>
      <c r="N1591" s="19"/>
      <c r="O1591" s="20"/>
      <c r="P1591" s="20"/>
    </row>
    <row r="1592" customFormat="false" ht="14.25" hidden="false" customHeight="true" outlineLevel="0" collapsed="false">
      <c r="A1592" s="3" t="s">
        <v>1259</v>
      </c>
      <c r="B1592" s="3" t="s">
        <v>1260</v>
      </c>
      <c r="C1592" s="3" t="n">
        <v>226026</v>
      </c>
      <c r="D1592" s="3" t="s">
        <v>1299</v>
      </c>
      <c r="E1592" s="18" t="n">
        <v>45428</v>
      </c>
      <c r="F1592" s="3" t="s">
        <v>1262</v>
      </c>
      <c r="G1592" s="3" t="s">
        <v>5</v>
      </c>
      <c r="H1592" s="19"/>
      <c r="I1592" s="19"/>
      <c r="J1592" s="20"/>
      <c r="K1592" s="20"/>
      <c r="L1592" s="19"/>
      <c r="M1592" s="19"/>
      <c r="N1592" s="19"/>
      <c r="O1592" s="20"/>
      <c r="P1592" s="20"/>
    </row>
    <row r="1593" customFormat="false" ht="14.25" hidden="false" customHeight="true" outlineLevel="0" collapsed="false">
      <c r="A1593" s="3" t="s">
        <v>1259</v>
      </c>
      <c r="B1593" s="3" t="s">
        <v>1260</v>
      </c>
      <c r="C1593" s="3" t="n">
        <v>226026</v>
      </c>
      <c r="D1593" s="3" t="s">
        <v>1488</v>
      </c>
      <c r="F1593" s="3" t="s">
        <v>1262</v>
      </c>
      <c r="G1593" s="3" t="s">
        <v>5</v>
      </c>
      <c r="H1593" s="19"/>
      <c r="I1593" s="19"/>
      <c r="J1593" s="20"/>
      <c r="K1593" s="20"/>
      <c r="L1593" s="19"/>
      <c r="M1593" s="19"/>
      <c r="N1593" s="19"/>
      <c r="O1593" s="20"/>
      <c r="P1593" s="20"/>
    </row>
    <row r="1594" customFormat="false" ht="14.25" hidden="false" customHeight="true" outlineLevel="0" collapsed="false">
      <c r="A1594" s="3" t="s">
        <v>1259</v>
      </c>
      <c r="B1594" s="3" t="s">
        <v>1260</v>
      </c>
      <c r="C1594" s="3" t="n">
        <v>226026</v>
      </c>
      <c r="D1594" s="3" t="s">
        <v>1489</v>
      </c>
      <c r="F1594" s="3" t="s">
        <v>1262</v>
      </c>
      <c r="G1594" s="3" t="s">
        <v>5</v>
      </c>
      <c r="H1594" s="19"/>
      <c r="I1594" s="19"/>
      <c r="J1594" s="20"/>
      <c r="K1594" s="20"/>
      <c r="L1594" s="19"/>
      <c r="M1594" s="19"/>
      <c r="N1594" s="19"/>
      <c r="O1594" s="20"/>
      <c r="P1594" s="20"/>
    </row>
    <row r="1595" customFormat="false" ht="14.25" hidden="false" customHeight="true" outlineLevel="0" collapsed="false">
      <c r="A1595" s="3" t="s">
        <v>1259</v>
      </c>
      <c r="B1595" s="3" t="s">
        <v>1260</v>
      </c>
      <c r="C1595" s="3" t="n">
        <v>226026</v>
      </c>
      <c r="D1595" s="3" t="s">
        <v>1490</v>
      </c>
      <c r="F1595" s="3" t="s">
        <v>1262</v>
      </c>
      <c r="G1595" s="3" t="s">
        <v>5</v>
      </c>
      <c r="H1595" s="19"/>
      <c r="I1595" s="19"/>
      <c r="J1595" s="20"/>
      <c r="K1595" s="20"/>
      <c r="L1595" s="19"/>
      <c r="M1595" s="19"/>
      <c r="N1595" s="19"/>
      <c r="O1595" s="20"/>
      <c r="P1595" s="20"/>
    </row>
    <row r="1596" customFormat="false" ht="14.25" hidden="false" customHeight="true" outlineLevel="0" collapsed="false">
      <c r="A1596" s="3" t="s">
        <v>1259</v>
      </c>
      <c r="B1596" s="3" t="s">
        <v>1260</v>
      </c>
      <c r="C1596" s="3" t="n">
        <v>226027</v>
      </c>
      <c r="D1596" s="3" t="s">
        <v>1261</v>
      </c>
      <c r="E1596" s="18" t="n">
        <v>45093</v>
      </c>
      <c r="F1596" s="3" t="s">
        <v>1262</v>
      </c>
      <c r="G1596" s="3" t="s">
        <v>5</v>
      </c>
      <c r="H1596" s="19" t="n">
        <v>45093</v>
      </c>
      <c r="I1596" s="19" t="n">
        <v>44957</v>
      </c>
      <c r="J1596" s="20" t="n">
        <v>66</v>
      </c>
      <c r="K1596" s="20" t="s">
        <v>1313</v>
      </c>
      <c r="L1596" s="19" t="s">
        <v>12</v>
      </c>
      <c r="M1596" s="19"/>
      <c r="N1596" s="19"/>
      <c r="O1596" s="20"/>
      <c r="P1596" s="20"/>
    </row>
    <row r="1597" customFormat="false" ht="14.25" hidden="false" customHeight="true" outlineLevel="0" collapsed="false">
      <c r="A1597" s="3" t="s">
        <v>1259</v>
      </c>
      <c r="B1597" s="3" t="s">
        <v>1260</v>
      </c>
      <c r="C1597" s="3" t="n">
        <v>226027</v>
      </c>
      <c r="D1597" s="3" t="s">
        <v>1264</v>
      </c>
      <c r="E1597" s="18" t="n">
        <v>45105</v>
      </c>
      <c r="F1597" s="3" t="s">
        <v>1262</v>
      </c>
      <c r="G1597" s="3" t="s">
        <v>5</v>
      </c>
      <c r="H1597" s="19"/>
      <c r="I1597" s="19"/>
      <c r="J1597" s="20"/>
      <c r="K1597" s="20"/>
      <c r="L1597" s="19"/>
      <c r="M1597" s="19"/>
      <c r="N1597" s="19"/>
      <c r="O1597" s="20"/>
      <c r="P1597" s="20"/>
    </row>
    <row r="1598" customFormat="false" ht="14.25" hidden="false" customHeight="true" outlineLevel="0" collapsed="false">
      <c r="A1598" s="3" t="s">
        <v>1259</v>
      </c>
      <c r="B1598" s="3" t="s">
        <v>1260</v>
      </c>
      <c r="C1598" s="3" t="n">
        <v>226027</v>
      </c>
      <c r="D1598" s="3" t="s">
        <v>1265</v>
      </c>
      <c r="E1598" s="18" t="n">
        <v>45107</v>
      </c>
      <c r="F1598" s="3" t="s">
        <v>1262</v>
      </c>
      <c r="G1598" s="3" t="s">
        <v>5</v>
      </c>
      <c r="H1598" s="19"/>
      <c r="I1598" s="19"/>
      <c r="J1598" s="20"/>
      <c r="K1598" s="20"/>
      <c r="L1598" s="19"/>
      <c r="M1598" s="19"/>
      <c r="N1598" s="19"/>
      <c r="O1598" s="20"/>
      <c r="P1598" s="20"/>
    </row>
    <row r="1599" customFormat="false" ht="14.25" hidden="false" customHeight="true" outlineLevel="0" collapsed="false">
      <c r="A1599" s="3" t="s">
        <v>1259</v>
      </c>
      <c r="B1599" s="3" t="s">
        <v>1260</v>
      </c>
      <c r="C1599" s="3" t="n">
        <v>226027</v>
      </c>
      <c r="D1599" s="3" t="s">
        <v>1266</v>
      </c>
      <c r="E1599" s="18" t="n">
        <v>45111</v>
      </c>
      <c r="F1599" s="3" t="s">
        <v>1262</v>
      </c>
      <c r="G1599" s="3" t="s">
        <v>5</v>
      </c>
      <c r="H1599" s="19"/>
      <c r="I1599" s="19"/>
      <c r="J1599" s="20"/>
      <c r="K1599" s="20"/>
      <c r="L1599" s="19"/>
      <c r="M1599" s="19"/>
      <c r="N1599" s="19"/>
      <c r="O1599" s="20"/>
      <c r="P1599" s="20"/>
    </row>
    <row r="1600" customFormat="false" ht="14.25" hidden="false" customHeight="true" outlineLevel="0" collapsed="false">
      <c r="A1600" s="3" t="s">
        <v>1259</v>
      </c>
      <c r="B1600" s="3" t="s">
        <v>1260</v>
      </c>
      <c r="C1600" s="3" t="n">
        <v>226027</v>
      </c>
      <c r="D1600" s="3" t="s">
        <v>1269</v>
      </c>
      <c r="E1600" s="18" t="n">
        <v>45118</v>
      </c>
      <c r="F1600" s="3" t="s">
        <v>1262</v>
      </c>
      <c r="G1600" s="3" t="s">
        <v>5</v>
      </c>
      <c r="H1600" s="19"/>
      <c r="I1600" s="19"/>
      <c r="J1600" s="20"/>
      <c r="K1600" s="20"/>
      <c r="L1600" s="19"/>
      <c r="M1600" s="19"/>
      <c r="N1600" s="19"/>
      <c r="O1600" s="20"/>
      <c r="P1600" s="20"/>
    </row>
    <row r="1601" customFormat="false" ht="14.25" hidden="false" customHeight="true" outlineLevel="0" collapsed="false">
      <c r="A1601" s="3" t="s">
        <v>1259</v>
      </c>
      <c r="B1601" s="3" t="s">
        <v>1260</v>
      </c>
      <c r="C1601" s="3" t="n">
        <v>226027</v>
      </c>
      <c r="D1601" s="3" t="s">
        <v>1270</v>
      </c>
      <c r="E1601" s="18" t="n">
        <v>45125</v>
      </c>
      <c r="F1601" s="3" t="s">
        <v>1262</v>
      </c>
      <c r="G1601" s="3" t="s">
        <v>5</v>
      </c>
      <c r="H1601" s="19"/>
      <c r="I1601" s="19"/>
      <c r="J1601" s="20"/>
      <c r="K1601" s="20"/>
      <c r="L1601" s="19"/>
      <c r="M1601" s="19"/>
      <c r="N1601" s="19"/>
      <c r="O1601" s="20"/>
      <c r="P1601" s="20"/>
    </row>
    <row r="1602" customFormat="false" ht="14.25" hidden="false" customHeight="true" outlineLevel="0" collapsed="false">
      <c r="A1602" s="3" t="s">
        <v>1259</v>
      </c>
      <c r="B1602" s="3" t="s">
        <v>1260</v>
      </c>
      <c r="C1602" s="3" t="n">
        <v>226027</v>
      </c>
      <c r="D1602" s="3" t="s">
        <v>1271</v>
      </c>
      <c r="E1602" s="18" t="n">
        <v>45132</v>
      </c>
      <c r="F1602" s="3" t="s">
        <v>1262</v>
      </c>
      <c r="G1602" s="3" t="s">
        <v>5</v>
      </c>
      <c r="H1602" s="19"/>
      <c r="I1602" s="19"/>
      <c r="J1602" s="20"/>
      <c r="K1602" s="20"/>
      <c r="L1602" s="19"/>
      <c r="M1602" s="19"/>
      <c r="N1602" s="19"/>
      <c r="O1602" s="20"/>
      <c r="P1602" s="20"/>
    </row>
    <row r="1603" customFormat="false" ht="14.25" hidden="false" customHeight="true" outlineLevel="0" collapsed="false">
      <c r="A1603" s="3" t="s">
        <v>1259</v>
      </c>
      <c r="B1603" s="3" t="s">
        <v>1260</v>
      </c>
      <c r="C1603" s="3" t="n">
        <v>226027</v>
      </c>
      <c r="D1603" s="3" t="s">
        <v>1272</v>
      </c>
      <c r="E1603" s="18" t="n">
        <v>45134</v>
      </c>
      <c r="F1603" s="3" t="s">
        <v>1262</v>
      </c>
      <c r="G1603" s="3" t="s">
        <v>5</v>
      </c>
      <c r="H1603" s="19"/>
      <c r="I1603" s="19"/>
      <c r="J1603" s="20"/>
      <c r="K1603" s="20"/>
      <c r="L1603" s="19"/>
      <c r="M1603" s="19"/>
      <c r="N1603" s="19"/>
      <c r="O1603" s="20"/>
      <c r="P1603" s="20"/>
    </row>
    <row r="1604" customFormat="false" ht="14.25" hidden="false" customHeight="true" outlineLevel="0" collapsed="false">
      <c r="A1604" s="3" t="s">
        <v>1259</v>
      </c>
      <c r="B1604" s="3" t="s">
        <v>1260</v>
      </c>
      <c r="C1604" s="3" t="n">
        <v>226027</v>
      </c>
      <c r="D1604" s="3" t="s">
        <v>1273</v>
      </c>
      <c r="E1604" s="18" t="n">
        <v>45146</v>
      </c>
      <c r="F1604" s="3" t="s">
        <v>1262</v>
      </c>
      <c r="G1604" s="3" t="s">
        <v>5</v>
      </c>
      <c r="H1604" s="19"/>
      <c r="I1604" s="19"/>
      <c r="J1604" s="20"/>
      <c r="K1604" s="20"/>
      <c r="L1604" s="19"/>
      <c r="M1604" s="19"/>
      <c r="N1604" s="19"/>
      <c r="O1604" s="20"/>
      <c r="P1604" s="20"/>
    </row>
    <row r="1605" customFormat="false" ht="14.25" hidden="false" customHeight="true" outlineLevel="0" collapsed="false">
      <c r="A1605" s="3" t="s">
        <v>1259</v>
      </c>
      <c r="B1605" s="3" t="s">
        <v>1260</v>
      </c>
      <c r="C1605" s="3" t="n">
        <v>226027</v>
      </c>
      <c r="D1605" s="3" t="s">
        <v>1514</v>
      </c>
      <c r="E1605" s="18" t="n">
        <v>45157</v>
      </c>
      <c r="F1605" s="3" t="s">
        <v>1262</v>
      </c>
      <c r="G1605" s="3" t="s">
        <v>1275</v>
      </c>
      <c r="H1605" s="19"/>
      <c r="I1605" s="19"/>
      <c r="J1605" s="20"/>
      <c r="K1605" s="20"/>
      <c r="L1605" s="19"/>
      <c r="M1605" s="19"/>
      <c r="N1605" s="19"/>
      <c r="O1605" s="20"/>
      <c r="P1605" s="20"/>
    </row>
    <row r="1606" customFormat="false" ht="14.25" hidden="false" customHeight="true" outlineLevel="0" collapsed="false">
      <c r="A1606" s="3" t="s">
        <v>1259</v>
      </c>
      <c r="B1606" s="3" t="s">
        <v>1260</v>
      </c>
      <c r="C1606" s="3" t="n">
        <v>226027</v>
      </c>
      <c r="D1606" s="3" t="s">
        <v>1276</v>
      </c>
      <c r="E1606" s="18" t="n">
        <v>45160</v>
      </c>
      <c r="F1606" s="3" t="s">
        <v>1262</v>
      </c>
      <c r="G1606" s="3" t="s">
        <v>5</v>
      </c>
      <c r="H1606" s="19"/>
      <c r="I1606" s="19"/>
      <c r="J1606" s="20"/>
      <c r="K1606" s="20"/>
      <c r="L1606" s="19"/>
      <c r="M1606" s="19"/>
      <c r="N1606" s="19"/>
      <c r="O1606" s="20"/>
      <c r="P1606" s="20"/>
    </row>
    <row r="1607" customFormat="false" ht="14.25" hidden="false" customHeight="true" outlineLevel="0" collapsed="false">
      <c r="A1607" s="3" t="s">
        <v>1259</v>
      </c>
      <c r="B1607" s="3" t="s">
        <v>1260</v>
      </c>
      <c r="C1607" s="3" t="n">
        <v>226027</v>
      </c>
      <c r="D1607" s="3" t="s">
        <v>1277</v>
      </c>
      <c r="E1607" s="18" t="n">
        <v>45174</v>
      </c>
      <c r="F1607" s="3" t="s">
        <v>1262</v>
      </c>
      <c r="G1607" s="3" t="s">
        <v>5</v>
      </c>
      <c r="H1607" s="19"/>
      <c r="I1607" s="19"/>
      <c r="J1607" s="20"/>
      <c r="K1607" s="20"/>
      <c r="L1607" s="19"/>
      <c r="M1607" s="19"/>
      <c r="N1607" s="19"/>
      <c r="O1607" s="20"/>
      <c r="P1607" s="20"/>
    </row>
    <row r="1608" customFormat="false" ht="14.25" hidden="false" customHeight="true" outlineLevel="0" collapsed="false">
      <c r="A1608" s="3" t="s">
        <v>1259</v>
      </c>
      <c r="B1608" s="3" t="s">
        <v>1260</v>
      </c>
      <c r="C1608" s="3" t="n">
        <v>226027</v>
      </c>
      <c r="D1608" s="3" t="s">
        <v>1278</v>
      </c>
      <c r="E1608" s="18" t="n">
        <v>45187</v>
      </c>
      <c r="F1608" s="3" t="s">
        <v>1262</v>
      </c>
      <c r="G1608" s="3" t="s">
        <v>5</v>
      </c>
      <c r="H1608" s="19"/>
      <c r="I1608" s="19"/>
      <c r="J1608" s="20"/>
      <c r="K1608" s="20"/>
      <c r="L1608" s="19"/>
      <c r="M1608" s="19"/>
      <c r="N1608" s="19"/>
      <c r="O1608" s="20"/>
      <c r="P1608" s="20"/>
    </row>
    <row r="1609" customFormat="false" ht="14.25" hidden="false" customHeight="true" outlineLevel="0" collapsed="false">
      <c r="A1609" s="3" t="s">
        <v>1259</v>
      </c>
      <c r="B1609" s="3" t="s">
        <v>1260</v>
      </c>
      <c r="C1609" s="3" t="n">
        <v>226027</v>
      </c>
      <c r="D1609" s="3" t="s">
        <v>1488</v>
      </c>
      <c r="E1609" s="18" t="n">
        <v>45189</v>
      </c>
      <c r="F1609" s="3" t="s">
        <v>1262</v>
      </c>
      <c r="G1609" s="3" t="s">
        <v>5</v>
      </c>
      <c r="H1609" s="19"/>
      <c r="I1609" s="19"/>
      <c r="J1609" s="20"/>
      <c r="K1609" s="20"/>
      <c r="L1609" s="19"/>
      <c r="M1609" s="19"/>
      <c r="N1609" s="19"/>
      <c r="O1609" s="20"/>
      <c r="P1609" s="20"/>
    </row>
    <row r="1610" customFormat="false" ht="14.25" hidden="false" customHeight="true" outlineLevel="0" collapsed="false">
      <c r="A1610" s="3" t="s">
        <v>1259</v>
      </c>
      <c r="B1610" s="3" t="s">
        <v>1260</v>
      </c>
      <c r="C1610" s="3" t="n">
        <v>226027</v>
      </c>
      <c r="D1610" s="3" t="s">
        <v>1489</v>
      </c>
      <c r="E1610" s="18" t="n">
        <v>45191</v>
      </c>
      <c r="F1610" s="3" t="s">
        <v>1262</v>
      </c>
      <c r="G1610" s="3" t="s">
        <v>5</v>
      </c>
      <c r="H1610" s="19"/>
      <c r="I1610" s="19"/>
      <c r="J1610" s="20"/>
      <c r="K1610" s="20"/>
      <c r="L1610" s="19"/>
      <c r="M1610" s="19"/>
      <c r="N1610" s="19"/>
      <c r="O1610" s="20"/>
      <c r="P1610" s="20"/>
    </row>
    <row r="1611" customFormat="false" ht="14.25" hidden="false" customHeight="true" outlineLevel="0" collapsed="false">
      <c r="A1611" s="3" t="s">
        <v>1259</v>
      </c>
      <c r="B1611" s="3" t="s">
        <v>1260</v>
      </c>
      <c r="C1611" s="3" t="n">
        <v>226027</v>
      </c>
      <c r="D1611" s="3" t="s">
        <v>1490</v>
      </c>
      <c r="E1611" s="18" t="n">
        <v>45194</v>
      </c>
      <c r="F1611" s="3" t="s">
        <v>1262</v>
      </c>
      <c r="G1611" s="3" t="s">
        <v>5</v>
      </c>
      <c r="H1611" s="19"/>
      <c r="I1611" s="19"/>
      <c r="J1611" s="20"/>
      <c r="K1611" s="20"/>
      <c r="L1611" s="19"/>
      <c r="M1611" s="19"/>
      <c r="N1611" s="19"/>
      <c r="O1611" s="20"/>
      <c r="P1611" s="20"/>
    </row>
    <row r="1612" customFormat="false" ht="14.25" hidden="false" customHeight="true" outlineLevel="0" collapsed="false">
      <c r="A1612" s="3" t="s">
        <v>1259</v>
      </c>
      <c r="B1612" s="3" t="s">
        <v>1260</v>
      </c>
      <c r="C1612" s="3" t="n">
        <v>226027</v>
      </c>
      <c r="D1612" s="3" t="s">
        <v>1279</v>
      </c>
      <c r="E1612" s="18" t="n">
        <v>45204</v>
      </c>
      <c r="F1612" s="3" t="s">
        <v>1262</v>
      </c>
      <c r="G1612" s="3" t="s">
        <v>5</v>
      </c>
      <c r="H1612" s="19"/>
      <c r="I1612" s="19"/>
      <c r="J1612" s="20"/>
      <c r="K1612" s="20"/>
      <c r="L1612" s="19"/>
      <c r="M1612" s="19"/>
      <c r="N1612" s="19"/>
      <c r="O1612" s="20"/>
      <c r="P1612" s="20"/>
    </row>
    <row r="1613" customFormat="false" ht="14.25" hidden="false" customHeight="true" outlineLevel="0" collapsed="false">
      <c r="A1613" s="3" t="s">
        <v>1259</v>
      </c>
      <c r="B1613" s="3" t="s">
        <v>1260</v>
      </c>
      <c r="C1613" s="3" t="n">
        <v>226027</v>
      </c>
      <c r="D1613" s="3" t="s">
        <v>1281</v>
      </c>
      <c r="E1613" s="18" t="n">
        <v>45216</v>
      </c>
      <c r="F1613" s="3" t="s">
        <v>1262</v>
      </c>
      <c r="G1613" s="3" t="s">
        <v>5</v>
      </c>
      <c r="H1613" s="19"/>
      <c r="I1613" s="19"/>
      <c r="J1613" s="20"/>
      <c r="K1613" s="20"/>
      <c r="L1613" s="19"/>
      <c r="M1613" s="19"/>
      <c r="N1613" s="19"/>
      <c r="O1613" s="20"/>
      <c r="P1613" s="20"/>
    </row>
    <row r="1614" customFormat="false" ht="14.25" hidden="false" customHeight="true" outlineLevel="0" collapsed="false">
      <c r="A1614" s="3" t="s">
        <v>1259</v>
      </c>
      <c r="B1614" s="3" t="s">
        <v>1260</v>
      </c>
      <c r="C1614" s="3" t="n">
        <v>226027</v>
      </c>
      <c r="D1614" s="3" t="s">
        <v>1508</v>
      </c>
      <c r="E1614" s="18" t="n">
        <v>45216</v>
      </c>
      <c r="F1614" s="3" t="s">
        <v>1262</v>
      </c>
      <c r="G1614" s="3" t="s">
        <v>1275</v>
      </c>
      <c r="H1614" s="19"/>
      <c r="I1614" s="19"/>
      <c r="J1614" s="20"/>
      <c r="K1614" s="20"/>
      <c r="L1614" s="19"/>
      <c r="M1614" s="19"/>
      <c r="N1614" s="19"/>
      <c r="O1614" s="20"/>
      <c r="P1614" s="20"/>
    </row>
    <row r="1615" customFormat="false" ht="14.25" hidden="false" customHeight="true" outlineLevel="0" collapsed="false">
      <c r="A1615" s="3" t="s">
        <v>1259</v>
      </c>
      <c r="B1615" s="3" t="s">
        <v>1260</v>
      </c>
      <c r="C1615" s="3" t="n">
        <v>226027</v>
      </c>
      <c r="D1615" s="3" t="s">
        <v>1515</v>
      </c>
      <c r="E1615" s="18" t="n">
        <v>45223</v>
      </c>
      <c r="F1615" s="3" t="s">
        <v>1262</v>
      </c>
      <c r="G1615" s="3" t="s">
        <v>1268</v>
      </c>
      <c r="H1615" s="19"/>
      <c r="I1615" s="19"/>
      <c r="J1615" s="20"/>
      <c r="K1615" s="20"/>
      <c r="L1615" s="19"/>
      <c r="M1615" s="19"/>
      <c r="N1615" s="19"/>
      <c r="O1615" s="20"/>
      <c r="P1615" s="20"/>
    </row>
    <row r="1616" customFormat="false" ht="14.25" hidden="false" customHeight="true" outlineLevel="0" collapsed="false">
      <c r="A1616" s="3" t="s">
        <v>1259</v>
      </c>
      <c r="B1616" s="3" t="s">
        <v>1260</v>
      </c>
      <c r="C1616" s="3" t="n">
        <v>226027</v>
      </c>
      <c r="D1616" s="3" t="s">
        <v>1282</v>
      </c>
      <c r="E1616" s="18" t="n">
        <v>45230</v>
      </c>
      <c r="F1616" s="3" t="s">
        <v>1262</v>
      </c>
      <c r="G1616" s="3" t="s">
        <v>5</v>
      </c>
      <c r="H1616" s="19"/>
      <c r="I1616" s="19"/>
      <c r="J1616" s="20"/>
      <c r="K1616" s="20"/>
      <c r="L1616" s="19"/>
      <c r="M1616" s="19"/>
      <c r="N1616" s="19"/>
      <c r="O1616" s="20"/>
      <c r="P1616" s="20"/>
    </row>
    <row r="1617" customFormat="false" ht="14.25" hidden="false" customHeight="true" outlineLevel="0" collapsed="false">
      <c r="A1617" s="3" t="s">
        <v>1259</v>
      </c>
      <c r="B1617" s="3" t="s">
        <v>1260</v>
      </c>
      <c r="C1617" s="3" t="n">
        <v>226027</v>
      </c>
      <c r="D1617" s="3" t="s">
        <v>1516</v>
      </c>
      <c r="E1617" s="18" t="n">
        <v>45239</v>
      </c>
      <c r="F1617" s="3" t="s">
        <v>1262</v>
      </c>
      <c r="G1617" s="3" t="s">
        <v>1268</v>
      </c>
      <c r="H1617" s="19"/>
      <c r="I1617" s="19"/>
      <c r="J1617" s="20"/>
      <c r="K1617" s="20"/>
      <c r="L1617" s="19"/>
      <c r="M1617" s="19"/>
      <c r="N1617" s="19"/>
      <c r="O1617" s="20"/>
      <c r="P1617" s="20"/>
    </row>
    <row r="1618" customFormat="false" ht="14.25" hidden="false" customHeight="true" outlineLevel="0" collapsed="false">
      <c r="A1618" s="3" t="s">
        <v>1259</v>
      </c>
      <c r="B1618" s="3" t="s">
        <v>1260</v>
      </c>
      <c r="C1618" s="3" t="n">
        <v>226027</v>
      </c>
      <c r="D1618" s="3" t="s">
        <v>1283</v>
      </c>
      <c r="E1618" s="18" t="n">
        <v>45244</v>
      </c>
      <c r="F1618" s="3" t="s">
        <v>1262</v>
      </c>
      <c r="G1618" s="3" t="s">
        <v>5</v>
      </c>
      <c r="H1618" s="19"/>
      <c r="I1618" s="19"/>
      <c r="J1618" s="20"/>
      <c r="K1618" s="20"/>
      <c r="L1618" s="19"/>
      <c r="M1618" s="19"/>
      <c r="N1618" s="19"/>
      <c r="O1618" s="20"/>
      <c r="P1618" s="20"/>
    </row>
    <row r="1619" customFormat="false" ht="14.25" hidden="false" customHeight="true" outlineLevel="0" collapsed="false">
      <c r="A1619" s="3" t="s">
        <v>1259</v>
      </c>
      <c r="B1619" s="3" t="s">
        <v>1260</v>
      </c>
      <c r="C1619" s="3" t="n">
        <v>226027</v>
      </c>
      <c r="D1619" s="3" t="s">
        <v>1284</v>
      </c>
      <c r="E1619" s="18" t="n">
        <v>45258</v>
      </c>
      <c r="F1619" s="3" t="s">
        <v>1262</v>
      </c>
      <c r="G1619" s="3" t="s">
        <v>5</v>
      </c>
      <c r="H1619" s="19"/>
      <c r="I1619" s="19"/>
      <c r="J1619" s="20"/>
      <c r="K1619" s="20"/>
      <c r="L1619" s="19"/>
      <c r="M1619" s="19"/>
      <c r="N1619" s="19"/>
      <c r="O1619" s="20"/>
      <c r="P1619" s="20"/>
    </row>
    <row r="1620" customFormat="false" ht="14.25" hidden="false" customHeight="true" outlineLevel="0" collapsed="false">
      <c r="A1620" s="3" t="s">
        <v>1259</v>
      </c>
      <c r="B1620" s="3" t="s">
        <v>1260</v>
      </c>
      <c r="C1620" s="3" t="n">
        <v>226027</v>
      </c>
      <c r="D1620" s="3" t="s">
        <v>1286</v>
      </c>
      <c r="E1620" s="18" t="n">
        <v>45272</v>
      </c>
      <c r="F1620" s="3" t="s">
        <v>1262</v>
      </c>
      <c r="G1620" s="3" t="s">
        <v>5</v>
      </c>
      <c r="H1620" s="19"/>
      <c r="I1620" s="19"/>
      <c r="J1620" s="20"/>
      <c r="K1620" s="20"/>
      <c r="L1620" s="19"/>
      <c r="M1620" s="19"/>
      <c r="N1620" s="19"/>
      <c r="O1620" s="20"/>
      <c r="P1620" s="20"/>
    </row>
    <row r="1621" customFormat="false" ht="14.25" hidden="false" customHeight="true" outlineLevel="0" collapsed="false">
      <c r="A1621" s="3" t="s">
        <v>1259</v>
      </c>
      <c r="B1621" s="3" t="s">
        <v>1260</v>
      </c>
      <c r="C1621" s="3" t="n">
        <v>226027</v>
      </c>
      <c r="D1621" s="3" t="s">
        <v>1439</v>
      </c>
      <c r="E1621" s="18" t="n">
        <v>45273</v>
      </c>
      <c r="F1621" s="3" t="s">
        <v>1262</v>
      </c>
      <c r="G1621" s="3" t="s">
        <v>1275</v>
      </c>
      <c r="H1621" s="19"/>
      <c r="I1621" s="19"/>
      <c r="J1621" s="20"/>
      <c r="K1621" s="20"/>
      <c r="L1621" s="19"/>
      <c r="M1621" s="19"/>
      <c r="N1621" s="19"/>
      <c r="O1621" s="20"/>
      <c r="P1621" s="20"/>
    </row>
    <row r="1622" customFormat="false" ht="14.25" hidden="false" customHeight="true" outlineLevel="0" collapsed="false">
      <c r="A1622" s="3" t="s">
        <v>1259</v>
      </c>
      <c r="B1622" s="3" t="s">
        <v>1260</v>
      </c>
      <c r="C1622" s="3" t="n">
        <v>226027</v>
      </c>
      <c r="D1622" s="3" t="s">
        <v>1287</v>
      </c>
      <c r="E1622" s="18" t="n">
        <v>45286</v>
      </c>
      <c r="F1622" s="3" t="s">
        <v>1262</v>
      </c>
      <c r="G1622" s="3" t="s">
        <v>5</v>
      </c>
      <c r="H1622" s="19"/>
      <c r="I1622" s="19"/>
      <c r="J1622" s="20"/>
      <c r="K1622" s="20"/>
      <c r="L1622" s="19"/>
      <c r="M1622" s="19"/>
      <c r="N1622" s="19"/>
      <c r="O1622" s="20"/>
      <c r="P1622" s="20"/>
    </row>
    <row r="1623" customFormat="false" ht="14.25" hidden="false" customHeight="true" outlineLevel="0" collapsed="false">
      <c r="A1623" s="3" t="s">
        <v>1259</v>
      </c>
      <c r="B1623" s="3" t="s">
        <v>1260</v>
      </c>
      <c r="C1623" s="3" t="n">
        <v>226027</v>
      </c>
      <c r="D1623" s="3" t="s">
        <v>1288</v>
      </c>
      <c r="E1623" s="18" t="n">
        <v>45300</v>
      </c>
      <c r="F1623" s="3" t="s">
        <v>1262</v>
      </c>
      <c r="G1623" s="3" t="s">
        <v>5</v>
      </c>
      <c r="H1623" s="19"/>
      <c r="I1623" s="19"/>
      <c r="J1623" s="20"/>
      <c r="K1623" s="20"/>
      <c r="L1623" s="19"/>
      <c r="M1623" s="19"/>
      <c r="N1623" s="19"/>
      <c r="O1623" s="20"/>
      <c r="P1623" s="20"/>
    </row>
    <row r="1624" customFormat="false" ht="14.25" hidden="false" customHeight="true" outlineLevel="0" collapsed="false">
      <c r="A1624" s="3" t="s">
        <v>1259</v>
      </c>
      <c r="B1624" s="3" t="s">
        <v>1260</v>
      </c>
      <c r="C1624" s="3" t="n">
        <v>226027</v>
      </c>
      <c r="D1624" s="3" t="s">
        <v>1289</v>
      </c>
      <c r="E1624" s="18" t="n">
        <v>45314</v>
      </c>
      <c r="F1624" s="3" t="s">
        <v>1262</v>
      </c>
      <c r="G1624" s="3" t="s">
        <v>5</v>
      </c>
      <c r="H1624" s="19"/>
      <c r="I1624" s="19"/>
      <c r="J1624" s="20"/>
      <c r="K1624" s="20"/>
      <c r="L1624" s="19"/>
      <c r="M1624" s="19"/>
      <c r="N1624" s="19"/>
      <c r="O1624" s="20"/>
      <c r="P1624" s="20"/>
    </row>
    <row r="1625" customFormat="false" ht="14.25" hidden="false" customHeight="true" outlineLevel="0" collapsed="false">
      <c r="A1625" s="3" t="s">
        <v>1259</v>
      </c>
      <c r="B1625" s="3" t="s">
        <v>1260</v>
      </c>
      <c r="C1625" s="3" t="n">
        <v>226027</v>
      </c>
      <c r="D1625" s="3" t="s">
        <v>1433</v>
      </c>
      <c r="E1625" s="18" t="n">
        <v>45322</v>
      </c>
      <c r="F1625" s="3" t="s">
        <v>1262</v>
      </c>
      <c r="G1625" s="3" t="s">
        <v>1275</v>
      </c>
      <c r="H1625" s="19"/>
      <c r="I1625" s="19"/>
      <c r="J1625" s="20"/>
      <c r="K1625" s="20"/>
      <c r="L1625" s="19"/>
      <c r="M1625" s="19"/>
      <c r="N1625" s="19"/>
      <c r="O1625" s="20"/>
      <c r="P1625" s="20"/>
    </row>
    <row r="1626" customFormat="false" ht="14.25" hidden="false" customHeight="true" outlineLevel="0" collapsed="false">
      <c r="A1626" s="3" t="s">
        <v>1259</v>
      </c>
      <c r="B1626" s="3" t="s">
        <v>1260</v>
      </c>
      <c r="C1626" s="3" t="n">
        <v>226027</v>
      </c>
      <c r="D1626" s="3" t="s">
        <v>1290</v>
      </c>
      <c r="E1626" s="18" t="n">
        <v>45328</v>
      </c>
      <c r="F1626" s="3" t="s">
        <v>1262</v>
      </c>
      <c r="G1626" s="3" t="s">
        <v>5</v>
      </c>
      <c r="H1626" s="19"/>
      <c r="I1626" s="19"/>
      <c r="J1626" s="20"/>
      <c r="K1626" s="20"/>
      <c r="L1626" s="19"/>
      <c r="M1626" s="19"/>
      <c r="N1626" s="19"/>
      <c r="O1626" s="20"/>
      <c r="P1626" s="20"/>
    </row>
    <row r="1627" customFormat="false" ht="14.25" hidden="false" customHeight="true" outlineLevel="0" collapsed="false">
      <c r="A1627" s="3" t="s">
        <v>1259</v>
      </c>
      <c r="B1627" s="3" t="s">
        <v>1260</v>
      </c>
      <c r="C1627" s="3" t="n">
        <v>226027</v>
      </c>
      <c r="D1627" s="3" t="s">
        <v>1292</v>
      </c>
      <c r="E1627" s="18" t="n">
        <v>45342</v>
      </c>
      <c r="F1627" s="3" t="s">
        <v>1262</v>
      </c>
      <c r="G1627" s="3" t="s">
        <v>5</v>
      </c>
      <c r="H1627" s="19"/>
      <c r="I1627" s="19"/>
      <c r="J1627" s="20"/>
      <c r="K1627" s="20"/>
      <c r="L1627" s="19"/>
      <c r="M1627" s="19"/>
      <c r="N1627" s="19"/>
      <c r="O1627" s="20"/>
      <c r="P1627" s="20"/>
    </row>
    <row r="1628" customFormat="false" ht="14.25" hidden="false" customHeight="true" outlineLevel="0" collapsed="false">
      <c r="A1628" s="3" t="s">
        <v>1259</v>
      </c>
      <c r="B1628" s="3" t="s">
        <v>1260</v>
      </c>
      <c r="C1628" s="3" t="n">
        <v>226027</v>
      </c>
      <c r="D1628" s="3" t="s">
        <v>1293</v>
      </c>
      <c r="E1628" s="18" t="n">
        <v>45356</v>
      </c>
      <c r="F1628" s="3" t="s">
        <v>1262</v>
      </c>
      <c r="G1628" s="3" t="s">
        <v>5</v>
      </c>
      <c r="H1628" s="19"/>
      <c r="I1628" s="19"/>
      <c r="J1628" s="20"/>
      <c r="K1628" s="20"/>
      <c r="L1628" s="19"/>
      <c r="M1628" s="19"/>
      <c r="N1628" s="19"/>
      <c r="O1628" s="20"/>
      <c r="P1628" s="20"/>
    </row>
    <row r="1629" customFormat="false" ht="14.25" hidden="false" customHeight="true" outlineLevel="0" collapsed="false">
      <c r="A1629" s="3" t="s">
        <v>1259</v>
      </c>
      <c r="B1629" s="3" t="s">
        <v>1260</v>
      </c>
      <c r="C1629" s="3" t="n">
        <v>226027</v>
      </c>
      <c r="D1629" s="3" t="s">
        <v>1294</v>
      </c>
      <c r="E1629" s="18" t="n">
        <v>45369</v>
      </c>
      <c r="F1629" s="3" t="s">
        <v>1262</v>
      </c>
      <c r="G1629" s="3" t="s">
        <v>5</v>
      </c>
      <c r="H1629" s="19"/>
      <c r="I1629" s="19"/>
      <c r="J1629" s="20"/>
      <c r="K1629" s="20"/>
      <c r="L1629" s="19"/>
      <c r="M1629" s="19"/>
      <c r="N1629" s="19"/>
      <c r="O1629" s="20"/>
      <c r="P1629" s="20"/>
    </row>
    <row r="1630" customFormat="false" ht="14.25" hidden="false" customHeight="true" outlineLevel="0" collapsed="false">
      <c r="A1630" s="3" t="s">
        <v>1259</v>
      </c>
      <c r="B1630" s="3" t="s">
        <v>1260</v>
      </c>
      <c r="C1630" s="3" t="n">
        <v>226027</v>
      </c>
      <c r="D1630" s="3" t="s">
        <v>1415</v>
      </c>
      <c r="E1630" s="18" t="n">
        <v>45378</v>
      </c>
      <c r="F1630" s="3" t="s">
        <v>1262</v>
      </c>
      <c r="G1630" s="3" t="s">
        <v>1275</v>
      </c>
      <c r="H1630" s="19"/>
      <c r="I1630" s="19"/>
      <c r="J1630" s="20"/>
      <c r="K1630" s="20"/>
      <c r="L1630" s="19"/>
      <c r="M1630" s="19"/>
      <c r="N1630" s="19"/>
      <c r="O1630" s="20"/>
      <c r="P1630" s="20"/>
    </row>
    <row r="1631" customFormat="false" ht="14.25" hidden="false" customHeight="true" outlineLevel="0" collapsed="false">
      <c r="A1631" s="3" t="s">
        <v>1259</v>
      </c>
      <c r="B1631" s="3" t="s">
        <v>1260</v>
      </c>
      <c r="C1631" s="3" t="n">
        <v>226027</v>
      </c>
      <c r="D1631" s="3" t="s">
        <v>1295</v>
      </c>
      <c r="E1631" s="18" t="n">
        <v>45383</v>
      </c>
      <c r="F1631" s="3" t="s">
        <v>1262</v>
      </c>
      <c r="G1631" s="3" t="s">
        <v>5</v>
      </c>
      <c r="H1631" s="19"/>
      <c r="I1631" s="19"/>
      <c r="J1631" s="20"/>
      <c r="K1631" s="20"/>
      <c r="L1631" s="19"/>
      <c r="M1631" s="19"/>
      <c r="N1631" s="19"/>
      <c r="O1631" s="20"/>
      <c r="P1631" s="20"/>
    </row>
    <row r="1632" customFormat="false" ht="14.25" hidden="false" customHeight="true" outlineLevel="0" collapsed="false">
      <c r="A1632" s="3" t="s">
        <v>1259</v>
      </c>
      <c r="B1632" s="3" t="s">
        <v>1260</v>
      </c>
      <c r="C1632" s="3" t="n">
        <v>226027</v>
      </c>
      <c r="D1632" s="3" t="s">
        <v>1297</v>
      </c>
      <c r="E1632" s="18" t="n">
        <v>45397</v>
      </c>
      <c r="F1632" s="3" t="s">
        <v>1262</v>
      </c>
      <c r="G1632" s="3" t="s">
        <v>5</v>
      </c>
      <c r="H1632" s="19"/>
      <c r="I1632" s="19"/>
      <c r="J1632" s="20"/>
      <c r="K1632" s="20"/>
      <c r="L1632" s="19"/>
      <c r="M1632" s="19"/>
      <c r="N1632" s="19"/>
      <c r="O1632" s="20"/>
      <c r="P1632" s="20"/>
    </row>
    <row r="1633" customFormat="false" ht="14.25" hidden="false" customHeight="true" outlineLevel="0" collapsed="false">
      <c r="A1633" s="3" t="s">
        <v>1259</v>
      </c>
      <c r="B1633" s="3" t="s">
        <v>1260</v>
      </c>
      <c r="C1633" s="3" t="n">
        <v>226029</v>
      </c>
      <c r="D1633" s="3" t="s">
        <v>1261</v>
      </c>
      <c r="E1633" s="18" t="n">
        <v>45097</v>
      </c>
      <c r="F1633" s="3" t="s">
        <v>1262</v>
      </c>
      <c r="G1633" s="3" t="s">
        <v>5</v>
      </c>
      <c r="H1633" s="19" t="n">
        <v>45097</v>
      </c>
      <c r="I1633" s="19" t="n">
        <v>44957</v>
      </c>
      <c r="J1633" s="20" t="n">
        <v>72</v>
      </c>
      <c r="K1633" s="20" t="s">
        <v>1313</v>
      </c>
      <c r="L1633" s="19" t="s">
        <v>12</v>
      </c>
      <c r="M1633" s="19"/>
      <c r="N1633" s="19"/>
      <c r="O1633" s="20"/>
      <c r="P1633" s="20"/>
    </row>
    <row r="1634" customFormat="false" ht="14.25" hidden="false" customHeight="true" outlineLevel="0" collapsed="false">
      <c r="A1634" s="3" t="s">
        <v>1259</v>
      </c>
      <c r="B1634" s="3" t="s">
        <v>1260</v>
      </c>
      <c r="C1634" s="3" t="n">
        <v>226029</v>
      </c>
      <c r="D1634" s="3" t="s">
        <v>1264</v>
      </c>
      <c r="E1634" s="18" t="n">
        <v>45112</v>
      </c>
      <c r="F1634" s="3" t="s">
        <v>1262</v>
      </c>
      <c r="G1634" s="3" t="s">
        <v>5</v>
      </c>
      <c r="H1634" s="19"/>
      <c r="I1634" s="19"/>
      <c r="J1634" s="20"/>
      <c r="K1634" s="20"/>
      <c r="L1634" s="19"/>
      <c r="M1634" s="19"/>
      <c r="N1634" s="19"/>
      <c r="O1634" s="20"/>
      <c r="P1634" s="20"/>
    </row>
    <row r="1635" customFormat="false" ht="14.25" hidden="false" customHeight="true" outlineLevel="0" collapsed="false">
      <c r="A1635" s="3" t="s">
        <v>1259</v>
      </c>
      <c r="B1635" s="3" t="s">
        <v>1260</v>
      </c>
      <c r="C1635" s="3" t="n">
        <v>226029</v>
      </c>
      <c r="D1635" s="3" t="s">
        <v>1265</v>
      </c>
      <c r="E1635" s="18" t="n">
        <v>45114</v>
      </c>
      <c r="F1635" s="3" t="s">
        <v>1262</v>
      </c>
      <c r="G1635" s="3" t="s">
        <v>5</v>
      </c>
      <c r="H1635" s="19"/>
      <c r="I1635" s="19"/>
      <c r="J1635" s="20"/>
      <c r="K1635" s="20"/>
      <c r="L1635" s="19"/>
      <c r="M1635" s="19"/>
      <c r="N1635" s="19"/>
      <c r="O1635" s="20"/>
      <c r="P1635" s="20"/>
    </row>
    <row r="1636" customFormat="false" ht="14.25" hidden="false" customHeight="true" outlineLevel="0" collapsed="false">
      <c r="A1636" s="3" t="s">
        <v>1259</v>
      </c>
      <c r="B1636" s="3" t="s">
        <v>1260</v>
      </c>
      <c r="C1636" s="3" t="n">
        <v>226029</v>
      </c>
      <c r="D1636" s="3" t="s">
        <v>1266</v>
      </c>
      <c r="E1636" s="18" t="n">
        <v>45118</v>
      </c>
      <c r="F1636" s="3" t="s">
        <v>1262</v>
      </c>
      <c r="G1636" s="3" t="s">
        <v>5</v>
      </c>
      <c r="H1636" s="19"/>
      <c r="I1636" s="19"/>
      <c r="J1636" s="20"/>
      <c r="K1636" s="20"/>
      <c r="L1636" s="19"/>
      <c r="M1636" s="19"/>
      <c r="N1636" s="19"/>
      <c r="O1636" s="20"/>
      <c r="P1636" s="20"/>
    </row>
    <row r="1637" customFormat="false" ht="14.25" hidden="false" customHeight="true" outlineLevel="0" collapsed="false">
      <c r="A1637" s="3" t="s">
        <v>1259</v>
      </c>
      <c r="B1637" s="3" t="s">
        <v>1260</v>
      </c>
      <c r="C1637" s="3" t="n">
        <v>226029</v>
      </c>
      <c r="D1637" s="3" t="s">
        <v>1269</v>
      </c>
      <c r="E1637" s="18" t="n">
        <v>45125</v>
      </c>
      <c r="F1637" s="3" t="s">
        <v>1262</v>
      </c>
      <c r="G1637" s="3" t="s">
        <v>5</v>
      </c>
      <c r="H1637" s="19"/>
      <c r="I1637" s="19"/>
      <c r="J1637" s="20"/>
      <c r="K1637" s="20"/>
      <c r="L1637" s="19"/>
      <c r="M1637" s="19"/>
      <c r="N1637" s="19"/>
      <c r="O1637" s="20"/>
      <c r="P1637" s="20"/>
    </row>
    <row r="1638" customFormat="false" ht="14.25" hidden="false" customHeight="true" outlineLevel="0" collapsed="false">
      <c r="A1638" s="3" t="s">
        <v>1259</v>
      </c>
      <c r="B1638" s="3" t="s">
        <v>1260</v>
      </c>
      <c r="C1638" s="3" t="n">
        <v>226029</v>
      </c>
      <c r="D1638" s="3" t="s">
        <v>1270</v>
      </c>
      <c r="E1638" s="18" t="n">
        <v>45133</v>
      </c>
      <c r="F1638" s="3" t="s">
        <v>1262</v>
      </c>
      <c r="G1638" s="3" t="s">
        <v>5</v>
      </c>
      <c r="H1638" s="19"/>
      <c r="I1638" s="19"/>
      <c r="J1638" s="20"/>
      <c r="K1638" s="20"/>
      <c r="L1638" s="19"/>
      <c r="M1638" s="19"/>
      <c r="N1638" s="19"/>
      <c r="O1638" s="20"/>
      <c r="P1638" s="20"/>
    </row>
    <row r="1639" customFormat="false" ht="14.25" hidden="false" customHeight="true" outlineLevel="0" collapsed="false">
      <c r="A1639" s="3" t="s">
        <v>1259</v>
      </c>
      <c r="B1639" s="3" t="s">
        <v>1260</v>
      </c>
      <c r="C1639" s="3" t="n">
        <v>226029</v>
      </c>
      <c r="D1639" s="3" t="s">
        <v>1271</v>
      </c>
      <c r="E1639" s="18" t="n">
        <v>45140</v>
      </c>
      <c r="F1639" s="3" t="s">
        <v>1262</v>
      </c>
      <c r="G1639" s="3" t="s">
        <v>5</v>
      </c>
      <c r="H1639" s="19"/>
      <c r="I1639" s="19"/>
      <c r="J1639" s="20"/>
      <c r="K1639" s="20"/>
      <c r="L1639" s="19"/>
      <c r="M1639" s="19"/>
      <c r="N1639" s="19"/>
      <c r="O1639" s="20"/>
      <c r="P1639" s="20"/>
    </row>
    <row r="1640" customFormat="false" ht="14.25" hidden="false" customHeight="true" outlineLevel="0" collapsed="false">
      <c r="A1640" s="3" t="s">
        <v>1259</v>
      </c>
      <c r="B1640" s="3" t="s">
        <v>1260</v>
      </c>
      <c r="C1640" s="3" t="n">
        <v>226029</v>
      </c>
      <c r="D1640" s="3" t="s">
        <v>1272</v>
      </c>
      <c r="E1640" s="18" t="n">
        <v>45142</v>
      </c>
      <c r="F1640" s="3" t="s">
        <v>1262</v>
      </c>
      <c r="G1640" s="3" t="s">
        <v>5</v>
      </c>
      <c r="H1640" s="19"/>
      <c r="I1640" s="19"/>
      <c r="J1640" s="20"/>
      <c r="K1640" s="20"/>
      <c r="L1640" s="19"/>
      <c r="M1640" s="19"/>
      <c r="N1640" s="19"/>
      <c r="O1640" s="20"/>
      <c r="P1640" s="20"/>
    </row>
    <row r="1641" customFormat="false" ht="14.25" hidden="false" customHeight="true" outlineLevel="0" collapsed="false">
      <c r="A1641" s="3" t="s">
        <v>1259</v>
      </c>
      <c r="B1641" s="3" t="s">
        <v>1260</v>
      </c>
      <c r="C1641" s="3" t="n">
        <v>226029</v>
      </c>
      <c r="D1641" s="3" t="s">
        <v>1273</v>
      </c>
      <c r="E1641" s="18" t="n">
        <v>45155</v>
      </c>
      <c r="F1641" s="3" t="s">
        <v>1262</v>
      </c>
      <c r="G1641" s="3" t="s">
        <v>5</v>
      </c>
      <c r="H1641" s="19"/>
      <c r="I1641" s="19"/>
      <c r="J1641" s="20"/>
      <c r="K1641" s="20"/>
      <c r="L1641" s="19"/>
      <c r="M1641" s="19"/>
      <c r="N1641" s="19"/>
      <c r="O1641" s="20"/>
      <c r="P1641" s="20"/>
    </row>
    <row r="1642" customFormat="false" ht="14.25" hidden="false" customHeight="true" outlineLevel="0" collapsed="false">
      <c r="A1642" s="3" t="s">
        <v>1259</v>
      </c>
      <c r="B1642" s="3" t="s">
        <v>1260</v>
      </c>
      <c r="C1642" s="3" t="n">
        <v>226029</v>
      </c>
      <c r="D1642" s="3" t="s">
        <v>1517</v>
      </c>
      <c r="E1642" s="18" t="n">
        <v>45162</v>
      </c>
      <c r="F1642" s="3" t="s">
        <v>1262</v>
      </c>
      <c r="G1642" s="3" t="s">
        <v>1275</v>
      </c>
      <c r="H1642" s="19"/>
      <c r="I1642" s="19"/>
      <c r="J1642" s="20"/>
      <c r="K1642" s="20"/>
      <c r="L1642" s="19"/>
      <c r="M1642" s="19"/>
      <c r="N1642" s="19"/>
      <c r="O1642" s="20"/>
      <c r="P1642" s="20"/>
    </row>
    <row r="1643" customFormat="false" ht="14.25" hidden="false" customHeight="true" outlineLevel="0" collapsed="false">
      <c r="A1643" s="3" t="s">
        <v>1259</v>
      </c>
      <c r="B1643" s="3" t="s">
        <v>1260</v>
      </c>
      <c r="C1643" s="3" t="n">
        <v>226029</v>
      </c>
      <c r="D1643" s="3" t="s">
        <v>1276</v>
      </c>
      <c r="E1643" s="18" t="n">
        <v>45168</v>
      </c>
      <c r="F1643" s="3" t="s">
        <v>1262</v>
      </c>
      <c r="G1643" s="3" t="s">
        <v>5</v>
      </c>
      <c r="H1643" s="19"/>
      <c r="I1643" s="19"/>
      <c r="J1643" s="20"/>
      <c r="K1643" s="20"/>
      <c r="L1643" s="19"/>
      <c r="M1643" s="19"/>
      <c r="N1643" s="19"/>
      <c r="O1643" s="20"/>
      <c r="P1643" s="20"/>
    </row>
    <row r="1644" customFormat="false" ht="14.25" hidden="false" customHeight="true" outlineLevel="0" collapsed="false">
      <c r="A1644" s="3" t="s">
        <v>1259</v>
      </c>
      <c r="B1644" s="3" t="s">
        <v>1260</v>
      </c>
      <c r="C1644" s="3" t="n">
        <v>226029</v>
      </c>
      <c r="D1644" s="3" t="s">
        <v>1277</v>
      </c>
      <c r="E1644" s="18" t="n">
        <v>45182</v>
      </c>
      <c r="F1644" s="3" t="s">
        <v>1262</v>
      </c>
      <c r="G1644" s="3" t="s">
        <v>5</v>
      </c>
      <c r="H1644" s="19"/>
      <c r="I1644" s="19"/>
      <c r="J1644" s="20"/>
      <c r="K1644" s="20"/>
      <c r="L1644" s="19"/>
      <c r="M1644" s="19"/>
      <c r="N1644" s="19"/>
      <c r="O1644" s="20"/>
      <c r="P1644" s="20"/>
    </row>
    <row r="1645" customFormat="false" ht="14.25" hidden="false" customHeight="true" outlineLevel="0" collapsed="false">
      <c r="A1645" s="3" t="s">
        <v>1259</v>
      </c>
      <c r="B1645" s="3" t="s">
        <v>1260</v>
      </c>
      <c r="C1645" s="3" t="n">
        <v>226029</v>
      </c>
      <c r="D1645" s="3" t="s">
        <v>1278</v>
      </c>
      <c r="E1645" s="18" t="n">
        <v>45196</v>
      </c>
      <c r="F1645" s="3" t="s">
        <v>1262</v>
      </c>
      <c r="G1645" s="3" t="s">
        <v>5</v>
      </c>
      <c r="H1645" s="19"/>
      <c r="I1645" s="19"/>
      <c r="J1645" s="20"/>
      <c r="K1645" s="20"/>
      <c r="L1645" s="19"/>
      <c r="M1645" s="19"/>
      <c r="N1645" s="19"/>
      <c r="O1645" s="20"/>
      <c r="P1645" s="20"/>
    </row>
    <row r="1646" customFormat="false" ht="14.25" hidden="false" customHeight="true" outlineLevel="0" collapsed="false">
      <c r="A1646" s="3" t="s">
        <v>1259</v>
      </c>
      <c r="B1646" s="3" t="s">
        <v>1260</v>
      </c>
      <c r="C1646" s="3" t="n">
        <v>226029</v>
      </c>
      <c r="D1646" s="3" t="s">
        <v>1490</v>
      </c>
      <c r="E1646" s="18" t="n">
        <v>45203</v>
      </c>
      <c r="F1646" s="3" t="s">
        <v>1262</v>
      </c>
      <c r="G1646" s="3" t="s">
        <v>5</v>
      </c>
      <c r="H1646" s="19"/>
      <c r="I1646" s="19"/>
      <c r="J1646" s="20"/>
      <c r="K1646" s="20"/>
      <c r="L1646" s="19"/>
      <c r="M1646" s="19"/>
      <c r="N1646" s="19"/>
      <c r="O1646" s="20"/>
      <c r="P1646" s="20"/>
    </row>
    <row r="1647" customFormat="false" ht="14.25" hidden="false" customHeight="true" outlineLevel="0" collapsed="false">
      <c r="A1647" s="3" t="s">
        <v>1259</v>
      </c>
      <c r="B1647" s="3" t="s">
        <v>1260</v>
      </c>
      <c r="C1647" s="3" t="n">
        <v>226029</v>
      </c>
      <c r="D1647" s="3" t="s">
        <v>1279</v>
      </c>
      <c r="E1647" s="18" t="n">
        <v>45210</v>
      </c>
      <c r="F1647" s="3" t="s">
        <v>1262</v>
      </c>
      <c r="G1647" s="3" t="s">
        <v>5</v>
      </c>
      <c r="H1647" s="19"/>
      <c r="I1647" s="19"/>
      <c r="J1647" s="20"/>
      <c r="K1647" s="20"/>
      <c r="L1647" s="19"/>
      <c r="M1647" s="19"/>
      <c r="N1647" s="19"/>
      <c r="O1647" s="20"/>
      <c r="P1647" s="20"/>
    </row>
    <row r="1648" customFormat="false" ht="14.25" hidden="false" customHeight="true" outlineLevel="0" collapsed="false">
      <c r="A1648" s="3" t="s">
        <v>1259</v>
      </c>
      <c r="B1648" s="3" t="s">
        <v>1260</v>
      </c>
      <c r="C1648" s="3" t="n">
        <v>226029</v>
      </c>
      <c r="D1648" s="3" t="s">
        <v>1518</v>
      </c>
      <c r="E1648" s="18" t="n">
        <v>45218</v>
      </c>
      <c r="F1648" s="3" t="s">
        <v>1262</v>
      </c>
      <c r="G1648" s="3" t="s">
        <v>1275</v>
      </c>
      <c r="H1648" s="19"/>
      <c r="I1648" s="19"/>
      <c r="J1648" s="20"/>
      <c r="K1648" s="20"/>
      <c r="L1648" s="19"/>
      <c r="M1648" s="19"/>
      <c r="N1648" s="19"/>
      <c r="O1648" s="20"/>
      <c r="P1648" s="20"/>
    </row>
    <row r="1649" customFormat="false" ht="14.25" hidden="false" customHeight="true" outlineLevel="0" collapsed="false">
      <c r="A1649" s="3" t="s">
        <v>1259</v>
      </c>
      <c r="B1649" s="3" t="s">
        <v>1260</v>
      </c>
      <c r="C1649" s="3" t="n">
        <v>226029</v>
      </c>
      <c r="D1649" s="3" t="s">
        <v>1281</v>
      </c>
      <c r="E1649" s="18" t="n">
        <v>45223</v>
      </c>
      <c r="F1649" s="3" t="s">
        <v>1262</v>
      </c>
      <c r="G1649" s="3" t="s">
        <v>5</v>
      </c>
      <c r="H1649" s="19"/>
      <c r="I1649" s="19"/>
      <c r="J1649" s="20"/>
      <c r="K1649" s="20"/>
      <c r="L1649" s="19"/>
      <c r="M1649" s="19"/>
      <c r="N1649" s="19"/>
      <c r="O1649" s="20"/>
      <c r="P1649" s="20"/>
    </row>
    <row r="1650" customFormat="false" ht="14.25" hidden="false" customHeight="true" outlineLevel="0" collapsed="false">
      <c r="A1650" s="3" t="s">
        <v>1259</v>
      </c>
      <c r="B1650" s="3" t="s">
        <v>1260</v>
      </c>
      <c r="C1650" s="3" t="n">
        <v>226029</v>
      </c>
      <c r="D1650" s="3" t="s">
        <v>1282</v>
      </c>
      <c r="E1650" s="18" t="n">
        <v>45237</v>
      </c>
      <c r="F1650" s="3" t="s">
        <v>1262</v>
      </c>
      <c r="G1650" s="3" t="s">
        <v>5</v>
      </c>
      <c r="H1650" s="19"/>
      <c r="I1650" s="19"/>
      <c r="J1650" s="20"/>
      <c r="K1650" s="20"/>
      <c r="L1650" s="19"/>
      <c r="M1650" s="19"/>
      <c r="N1650" s="19"/>
      <c r="O1650" s="20"/>
      <c r="P1650" s="20"/>
    </row>
    <row r="1651" customFormat="false" ht="14.25" hidden="false" customHeight="true" outlineLevel="0" collapsed="false">
      <c r="A1651" s="3" t="s">
        <v>1259</v>
      </c>
      <c r="B1651" s="3" t="s">
        <v>1260</v>
      </c>
      <c r="C1651" s="3" t="n">
        <v>226029</v>
      </c>
      <c r="D1651" s="3" t="s">
        <v>1283</v>
      </c>
      <c r="E1651" s="18" t="n">
        <v>45252</v>
      </c>
      <c r="F1651" s="3" t="s">
        <v>1262</v>
      </c>
      <c r="G1651" s="3" t="s">
        <v>5</v>
      </c>
      <c r="H1651" s="19"/>
      <c r="I1651" s="19"/>
      <c r="J1651" s="20"/>
      <c r="K1651" s="20"/>
      <c r="L1651" s="19"/>
      <c r="M1651" s="19"/>
      <c r="N1651" s="19"/>
      <c r="O1651" s="20"/>
      <c r="P1651" s="20"/>
    </row>
    <row r="1652" customFormat="false" ht="14.25" hidden="false" customHeight="true" outlineLevel="0" collapsed="false">
      <c r="A1652" s="3" t="s">
        <v>1259</v>
      </c>
      <c r="B1652" s="3" t="s">
        <v>1260</v>
      </c>
      <c r="C1652" s="3" t="n">
        <v>226029</v>
      </c>
      <c r="D1652" s="3" t="s">
        <v>1284</v>
      </c>
      <c r="E1652" s="18" t="n">
        <v>45265</v>
      </c>
      <c r="F1652" s="3" t="s">
        <v>1262</v>
      </c>
      <c r="G1652" s="3" t="s">
        <v>5</v>
      </c>
      <c r="H1652" s="19"/>
      <c r="I1652" s="19"/>
      <c r="J1652" s="20"/>
      <c r="K1652" s="20"/>
      <c r="L1652" s="19"/>
      <c r="M1652" s="19"/>
      <c r="N1652" s="19"/>
      <c r="O1652" s="20"/>
      <c r="P1652" s="20"/>
    </row>
    <row r="1653" customFormat="false" ht="14.25" hidden="false" customHeight="true" outlineLevel="0" collapsed="false">
      <c r="A1653" s="3" t="s">
        <v>1259</v>
      </c>
      <c r="B1653" s="3" t="s">
        <v>1260</v>
      </c>
      <c r="C1653" s="3" t="n">
        <v>226029</v>
      </c>
      <c r="D1653" s="3" t="s">
        <v>1423</v>
      </c>
      <c r="E1653" s="18" t="n">
        <v>45274</v>
      </c>
      <c r="F1653" s="3" t="s">
        <v>1262</v>
      </c>
      <c r="G1653" s="3" t="s">
        <v>1275</v>
      </c>
      <c r="H1653" s="19"/>
      <c r="I1653" s="19"/>
      <c r="J1653" s="20"/>
      <c r="K1653" s="20"/>
      <c r="L1653" s="19"/>
      <c r="M1653" s="19"/>
      <c r="N1653" s="19"/>
      <c r="O1653" s="20"/>
      <c r="P1653" s="20"/>
    </row>
    <row r="1654" customFormat="false" ht="14.25" hidden="false" customHeight="true" outlineLevel="0" collapsed="false">
      <c r="A1654" s="3" t="s">
        <v>1259</v>
      </c>
      <c r="B1654" s="3" t="s">
        <v>1260</v>
      </c>
      <c r="C1654" s="3" t="n">
        <v>226029</v>
      </c>
      <c r="D1654" s="3" t="s">
        <v>1286</v>
      </c>
      <c r="E1654" s="18" t="n">
        <v>45280</v>
      </c>
      <c r="F1654" s="3" t="s">
        <v>1262</v>
      </c>
      <c r="G1654" s="3" t="s">
        <v>5</v>
      </c>
      <c r="H1654" s="19"/>
      <c r="I1654" s="19"/>
      <c r="J1654" s="20"/>
      <c r="K1654" s="20"/>
      <c r="L1654" s="19"/>
      <c r="M1654" s="19"/>
      <c r="N1654" s="19"/>
      <c r="O1654" s="20"/>
      <c r="P1654" s="20"/>
    </row>
    <row r="1655" customFormat="false" ht="14.25" hidden="false" customHeight="true" outlineLevel="0" collapsed="false">
      <c r="A1655" s="3" t="s">
        <v>1259</v>
      </c>
      <c r="B1655" s="3" t="s">
        <v>1260</v>
      </c>
      <c r="C1655" s="3" t="n">
        <v>226029</v>
      </c>
      <c r="D1655" s="3" t="s">
        <v>1287</v>
      </c>
      <c r="E1655" s="18" t="n">
        <v>45294</v>
      </c>
      <c r="F1655" s="3" t="s">
        <v>1262</v>
      </c>
      <c r="G1655" s="3" t="s">
        <v>5</v>
      </c>
      <c r="H1655" s="19"/>
      <c r="I1655" s="19"/>
      <c r="J1655" s="20"/>
      <c r="K1655" s="20"/>
      <c r="L1655" s="19"/>
      <c r="M1655" s="19"/>
      <c r="N1655" s="19"/>
      <c r="O1655" s="20"/>
      <c r="P1655" s="20"/>
    </row>
    <row r="1656" customFormat="false" ht="14.25" hidden="false" customHeight="true" outlineLevel="0" collapsed="false">
      <c r="A1656" s="3" t="s">
        <v>1259</v>
      </c>
      <c r="B1656" s="3" t="s">
        <v>1260</v>
      </c>
      <c r="C1656" s="3" t="n">
        <v>226029</v>
      </c>
      <c r="D1656" s="3" t="s">
        <v>1288</v>
      </c>
      <c r="E1656" s="18" t="n">
        <v>45307</v>
      </c>
      <c r="F1656" s="3" t="s">
        <v>1262</v>
      </c>
      <c r="G1656" s="3" t="s">
        <v>5</v>
      </c>
      <c r="H1656" s="19"/>
      <c r="I1656" s="19"/>
      <c r="J1656" s="20"/>
      <c r="K1656" s="20"/>
      <c r="L1656" s="19"/>
      <c r="M1656" s="19"/>
      <c r="N1656" s="19"/>
      <c r="O1656" s="20"/>
      <c r="P1656" s="20"/>
    </row>
    <row r="1657" customFormat="false" ht="14.25" hidden="false" customHeight="true" outlineLevel="0" collapsed="false">
      <c r="A1657" s="3" t="s">
        <v>1259</v>
      </c>
      <c r="B1657" s="3" t="s">
        <v>1260</v>
      </c>
      <c r="C1657" s="3" t="n">
        <v>226029</v>
      </c>
      <c r="D1657" s="3" t="s">
        <v>1289</v>
      </c>
      <c r="E1657" s="18" t="n">
        <v>45322</v>
      </c>
      <c r="F1657" s="3" t="s">
        <v>1262</v>
      </c>
      <c r="G1657" s="3" t="s">
        <v>5</v>
      </c>
      <c r="H1657" s="19"/>
      <c r="I1657" s="19"/>
      <c r="J1657" s="20"/>
      <c r="K1657" s="20"/>
      <c r="L1657" s="19"/>
      <c r="M1657" s="19"/>
      <c r="N1657" s="19"/>
      <c r="O1657" s="20"/>
      <c r="P1657" s="20"/>
    </row>
    <row r="1658" customFormat="false" ht="14.25" hidden="false" customHeight="true" outlineLevel="0" collapsed="false">
      <c r="A1658" s="3" t="s">
        <v>1259</v>
      </c>
      <c r="B1658" s="3" t="s">
        <v>1260</v>
      </c>
      <c r="C1658" s="3" t="n">
        <v>226029</v>
      </c>
      <c r="D1658" s="3" t="s">
        <v>1411</v>
      </c>
      <c r="E1658" s="18" t="n">
        <v>45329</v>
      </c>
      <c r="F1658" s="3" t="s">
        <v>1262</v>
      </c>
      <c r="G1658" s="3" t="s">
        <v>1275</v>
      </c>
      <c r="H1658" s="19"/>
      <c r="I1658" s="19"/>
      <c r="J1658" s="20"/>
      <c r="K1658" s="20"/>
      <c r="L1658" s="19"/>
      <c r="M1658" s="19"/>
      <c r="N1658" s="19"/>
      <c r="O1658" s="20"/>
      <c r="P1658" s="20"/>
    </row>
    <row r="1659" customFormat="false" ht="14.25" hidden="false" customHeight="true" outlineLevel="0" collapsed="false">
      <c r="A1659" s="3" t="s">
        <v>1259</v>
      </c>
      <c r="B1659" s="3" t="s">
        <v>1260</v>
      </c>
      <c r="C1659" s="3" t="n">
        <v>226029</v>
      </c>
      <c r="D1659" s="3" t="s">
        <v>1290</v>
      </c>
      <c r="E1659" s="18" t="n">
        <v>45335</v>
      </c>
      <c r="F1659" s="3" t="s">
        <v>1262</v>
      </c>
      <c r="G1659" s="3" t="s">
        <v>5</v>
      </c>
      <c r="H1659" s="19"/>
      <c r="I1659" s="19"/>
      <c r="J1659" s="20"/>
      <c r="K1659" s="20"/>
      <c r="L1659" s="19"/>
      <c r="M1659" s="19"/>
      <c r="N1659" s="19"/>
      <c r="O1659" s="20"/>
      <c r="P1659" s="20"/>
    </row>
    <row r="1660" customFormat="false" ht="14.25" hidden="false" customHeight="true" outlineLevel="0" collapsed="false">
      <c r="A1660" s="3" t="s">
        <v>1259</v>
      </c>
      <c r="B1660" s="3" t="s">
        <v>1260</v>
      </c>
      <c r="C1660" s="3" t="n">
        <v>226029</v>
      </c>
      <c r="D1660" s="3" t="s">
        <v>1292</v>
      </c>
      <c r="E1660" s="18" t="n">
        <v>45350</v>
      </c>
      <c r="F1660" s="3" t="s">
        <v>1262</v>
      </c>
      <c r="G1660" s="3" t="s">
        <v>5</v>
      </c>
      <c r="H1660" s="19"/>
      <c r="I1660" s="19"/>
      <c r="J1660" s="20"/>
      <c r="K1660" s="20"/>
      <c r="L1660" s="19"/>
      <c r="M1660" s="19"/>
      <c r="N1660" s="19"/>
      <c r="O1660" s="20"/>
      <c r="P1660" s="20"/>
    </row>
    <row r="1661" customFormat="false" ht="14.25" hidden="false" customHeight="true" outlineLevel="0" collapsed="false">
      <c r="A1661" s="3" t="s">
        <v>1259</v>
      </c>
      <c r="B1661" s="3" t="s">
        <v>1260</v>
      </c>
      <c r="C1661" s="3" t="n">
        <v>226029</v>
      </c>
      <c r="D1661" s="3" t="s">
        <v>1293</v>
      </c>
      <c r="E1661" s="18" t="n">
        <v>45364</v>
      </c>
      <c r="F1661" s="3" t="s">
        <v>1262</v>
      </c>
      <c r="G1661" s="3" t="s">
        <v>5</v>
      </c>
      <c r="H1661" s="19"/>
      <c r="I1661" s="19"/>
      <c r="J1661" s="20"/>
      <c r="K1661" s="20"/>
      <c r="L1661" s="19"/>
      <c r="M1661" s="19"/>
      <c r="N1661" s="19"/>
      <c r="O1661" s="20"/>
      <c r="P1661" s="20"/>
    </row>
    <row r="1662" customFormat="false" ht="14.25" hidden="false" customHeight="true" outlineLevel="0" collapsed="false">
      <c r="A1662" s="3" t="s">
        <v>1259</v>
      </c>
      <c r="B1662" s="3" t="s">
        <v>1260</v>
      </c>
      <c r="C1662" s="3" t="n">
        <v>226029</v>
      </c>
      <c r="D1662" s="3" t="s">
        <v>1294</v>
      </c>
      <c r="E1662" s="18" t="n">
        <v>45378</v>
      </c>
      <c r="F1662" s="3" t="s">
        <v>1262</v>
      </c>
      <c r="G1662" s="3" t="s">
        <v>5</v>
      </c>
      <c r="H1662" s="19"/>
      <c r="I1662" s="19"/>
      <c r="J1662" s="20"/>
      <c r="K1662" s="20"/>
      <c r="L1662" s="19"/>
      <c r="M1662" s="19"/>
      <c r="N1662" s="19"/>
      <c r="O1662" s="20"/>
      <c r="P1662" s="20"/>
    </row>
    <row r="1663" customFormat="false" ht="14.25" hidden="false" customHeight="true" outlineLevel="0" collapsed="false">
      <c r="A1663" s="3" t="s">
        <v>1259</v>
      </c>
      <c r="B1663" s="3" t="s">
        <v>1260</v>
      </c>
      <c r="C1663" s="3" t="n">
        <v>226029</v>
      </c>
      <c r="D1663" s="3" t="s">
        <v>1295</v>
      </c>
      <c r="E1663" s="18" t="n">
        <v>45390</v>
      </c>
      <c r="F1663" s="3" t="s">
        <v>1262</v>
      </c>
      <c r="G1663" s="3" t="s">
        <v>5</v>
      </c>
      <c r="H1663" s="19"/>
      <c r="I1663" s="19"/>
      <c r="J1663" s="20"/>
      <c r="K1663" s="20"/>
      <c r="L1663" s="19"/>
      <c r="M1663" s="19"/>
      <c r="N1663" s="19"/>
      <c r="O1663" s="20"/>
      <c r="P1663" s="20"/>
    </row>
    <row r="1664" customFormat="false" ht="14.25" hidden="false" customHeight="true" outlineLevel="0" collapsed="false">
      <c r="A1664" s="3" t="s">
        <v>1259</v>
      </c>
      <c r="B1664" s="3" t="s">
        <v>1260</v>
      </c>
      <c r="C1664" s="3" t="n">
        <v>226029</v>
      </c>
      <c r="D1664" s="3" t="s">
        <v>1353</v>
      </c>
      <c r="E1664" s="18" t="n">
        <v>45390</v>
      </c>
      <c r="F1664" s="3" t="s">
        <v>1262</v>
      </c>
      <c r="G1664" s="3" t="s">
        <v>1275</v>
      </c>
      <c r="H1664" s="19"/>
      <c r="I1664" s="19"/>
      <c r="J1664" s="20"/>
      <c r="K1664" s="20"/>
      <c r="L1664" s="19"/>
      <c r="M1664" s="19"/>
      <c r="N1664" s="19"/>
      <c r="O1664" s="20"/>
      <c r="P1664" s="20"/>
    </row>
    <row r="1665" customFormat="false" ht="14.25" hidden="false" customHeight="true" outlineLevel="0" collapsed="false">
      <c r="A1665" s="3" t="s">
        <v>1259</v>
      </c>
      <c r="B1665" s="3" t="s">
        <v>1260</v>
      </c>
      <c r="C1665" s="3" t="n">
        <v>226029</v>
      </c>
      <c r="D1665" s="3" t="s">
        <v>1297</v>
      </c>
      <c r="E1665" s="18" t="n">
        <v>45406</v>
      </c>
      <c r="F1665" s="3" t="s">
        <v>1262</v>
      </c>
      <c r="G1665" s="3" t="s">
        <v>5</v>
      </c>
      <c r="H1665" s="19"/>
      <c r="I1665" s="19"/>
      <c r="J1665" s="20"/>
      <c r="K1665" s="20"/>
      <c r="L1665" s="19"/>
      <c r="M1665" s="19"/>
      <c r="N1665" s="19"/>
      <c r="O1665" s="20"/>
      <c r="P1665" s="20"/>
    </row>
    <row r="1666" customFormat="false" ht="14.25" hidden="false" customHeight="true" outlineLevel="0" collapsed="false">
      <c r="A1666" s="3" t="s">
        <v>1259</v>
      </c>
      <c r="B1666" s="3" t="s">
        <v>1260</v>
      </c>
      <c r="C1666" s="3" t="n">
        <v>226029</v>
      </c>
      <c r="D1666" s="3" t="s">
        <v>1298</v>
      </c>
      <c r="E1666" s="18" t="n">
        <v>45420</v>
      </c>
      <c r="F1666" s="3" t="s">
        <v>1262</v>
      </c>
      <c r="G1666" s="3" t="s">
        <v>5</v>
      </c>
      <c r="H1666" s="19"/>
      <c r="I1666" s="19"/>
      <c r="J1666" s="20"/>
      <c r="K1666" s="20"/>
      <c r="L1666" s="19"/>
      <c r="M1666" s="19"/>
      <c r="N1666" s="19"/>
      <c r="O1666" s="20"/>
      <c r="P1666" s="20"/>
    </row>
    <row r="1667" customFormat="false" ht="14.25" hidden="false" customHeight="true" outlineLevel="0" collapsed="false">
      <c r="A1667" s="3" t="s">
        <v>1259</v>
      </c>
      <c r="B1667" s="3" t="s">
        <v>1260</v>
      </c>
      <c r="C1667" s="3" t="n">
        <v>226029</v>
      </c>
      <c r="D1667" s="3" t="s">
        <v>1488</v>
      </c>
      <c r="F1667" s="3" t="s">
        <v>1262</v>
      </c>
      <c r="G1667" s="3" t="s">
        <v>5</v>
      </c>
      <c r="H1667" s="19"/>
      <c r="I1667" s="19"/>
      <c r="J1667" s="20"/>
      <c r="K1667" s="20"/>
      <c r="L1667" s="19"/>
      <c r="M1667" s="19"/>
      <c r="N1667" s="19"/>
      <c r="O1667" s="20"/>
      <c r="P1667" s="20"/>
    </row>
    <row r="1668" customFormat="false" ht="14.25" hidden="false" customHeight="true" outlineLevel="0" collapsed="false">
      <c r="A1668" s="3" t="s">
        <v>1259</v>
      </c>
      <c r="B1668" s="3" t="s">
        <v>1260</v>
      </c>
      <c r="C1668" s="3" t="n">
        <v>226029</v>
      </c>
      <c r="D1668" s="3" t="s">
        <v>1489</v>
      </c>
      <c r="F1668" s="3" t="s">
        <v>1262</v>
      </c>
      <c r="G1668" s="3" t="s">
        <v>5</v>
      </c>
      <c r="H1668" s="19"/>
      <c r="I1668" s="19"/>
      <c r="J1668" s="20"/>
      <c r="K1668" s="20"/>
      <c r="L1668" s="19"/>
      <c r="M1668" s="19"/>
      <c r="N1668" s="19"/>
      <c r="O1668" s="20"/>
      <c r="P1668" s="20"/>
    </row>
    <row r="1669" customFormat="false" ht="14.25" hidden="false" customHeight="true" outlineLevel="0" collapsed="false">
      <c r="A1669" s="3" t="s">
        <v>1259</v>
      </c>
      <c r="B1669" s="3" t="s">
        <v>1260</v>
      </c>
      <c r="C1669" s="3" t="n">
        <v>226033</v>
      </c>
      <c r="D1669" s="3" t="s">
        <v>1261</v>
      </c>
      <c r="E1669" s="18" t="n">
        <v>45099</v>
      </c>
      <c r="F1669" s="3" t="s">
        <v>1262</v>
      </c>
      <c r="G1669" s="3" t="s">
        <v>5</v>
      </c>
      <c r="H1669" s="19" t="n">
        <v>45099</v>
      </c>
      <c r="I1669" s="19" t="n">
        <v>44957</v>
      </c>
      <c r="J1669" s="20" t="n">
        <v>64</v>
      </c>
      <c r="K1669" s="20" t="s">
        <v>1263</v>
      </c>
      <c r="L1669" s="19" t="s">
        <v>12</v>
      </c>
      <c r="M1669" s="19"/>
      <c r="N1669" s="19"/>
      <c r="O1669" s="20"/>
      <c r="P1669" s="20"/>
    </row>
    <row r="1670" customFormat="false" ht="14.25" hidden="false" customHeight="true" outlineLevel="0" collapsed="false">
      <c r="A1670" s="3" t="s">
        <v>1259</v>
      </c>
      <c r="B1670" s="3" t="s">
        <v>1260</v>
      </c>
      <c r="C1670" s="3" t="n">
        <v>226033</v>
      </c>
      <c r="D1670" s="3" t="s">
        <v>1264</v>
      </c>
      <c r="E1670" s="18" t="n">
        <v>45112</v>
      </c>
      <c r="F1670" s="3" t="s">
        <v>1262</v>
      </c>
      <c r="G1670" s="3" t="s">
        <v>5</v>
      </c>
      <c r="H1670" s="19"/>
      <c r="I1670" s="19"/>
      <c r="J1670" s="20"/>
      <c r="K1670" s="20"/>
      <c r="L1670" s="19"/>
      <c r="M1670" s="19"/>
      <c r="N1670" s="19"/>
      <c r="O1670" s="20"/>
      <c r="P1670" s="20"/>
    </row>
    <row r="1671" customFormat="false" ht="14.25" hidden="false" customHeight="true" outlineLevel="0" collapsed="false">
      <c r="A1671" s="3" t="s">
        <v>1259</v>
      </c>
      <c r="B1671" s="3" t="s">
        <v>1260</v>
      </c>
      <c r="C1671" s="3" t="n">
        <v>226033</v>
      </c>
      <c r="D1671" s="3" t="s">
        <v>1265</v>
      </c>
      <c r="E1671" s="18" t="n">
        <v>45114</v>
      </c>
      <c r="F1671" s="3" t="s">
        <v>1262</v>
      </c>
      <c r="G1671" s="3" t="s">
        <v>5</v>
      </c>
      <c r="H1671" s="19"/>
      <c r="I1671" s="19"/>
      <c r="J1671" s="20"/>
      <c r="K1671" s="20"/>
      <c r="L1671" s="19"/>
      <c r="M1671" s="19"/>
      <c r="N1671" s="19"/>
      <c r="O1671" s="20"/>
      <c r="P1671" s="20"/>
    </row>
    <row r="1672" customFormat="false" ht="14.25" hidden="false" customHeight="true" outlineLevel="0" collapsed="false">
      <c r="A1672" s="3" t="s">
        <v>1259</v>
      </c>
      <c r="B1672" s="3" t="s">
        <v>1260</v>
      </c>
      <c r="C1672" s="3" t="n">
        <v>226033</v>
      </c>
      <c r="D1672" s="3" t="s">
        <v>1266</v>
      </c>
      <c r="E1672" s="18" t="n">
        <v>45119</v>
      </c>
      <c r="F1672" s="3" t="s">
        <v>1262</v>
      </c>
      <c r="G1672" s="3" t="s">
        <v>5</v>
      </c>
      <c r="H1672" s="19"/>
      <c r="I1672" s="19"/>
      <c r="J1672" s="20"/>
      <c r="K1672" s="20"/>
      <c r="L1672" s="19"/>
      <c r="M1672" s="19"/>
      <c r="N1672" s="19"/>
      <c r="O1672" s="20"/>
      <c r="P1672" s="20"/>
    </row>
    <row r="1673" customFormat="false" ht="14.25" hidden="false" customHeight="true" outlineLevel="0" collapsed="false">
      <c r="A1673" s="3" t="s">
        <v>1259</v>
      </c>
      <c r="B1673" s="3" t="s">
        <v>1260</v>
      </c>
      <c r="C1673" s="3" t="n">
        <v>226033</v>
      </c>
      <c r="D1673" s="3" t="s">
        <v>1269</v>
      </c>
      <c r="E1673" s="18" t="n">
        <v>45126</v>
      </c>
      <c r="F1673" s="3" t="s">
        <v>1262</v>
      </c>
      <c r="G1673" s="3" t="s">
        <v>5</v>
      </c>
      <c r="H1673" s="19"/>
      <c r="I1673" s="19"/>
      <c r="J1673" s="20"/>
      <c r="K1673" s="20"/>
      <c r="L1673" s="19"/>
      <c r="M1673" s="19"/>
      <c r="N1673" s="19"/>
      <c r="O1673" s="20"/>
      <c r="P1673" s="20"/>
    </row>
    <row r="1674" customFormat="false" ht="14.25" hidden="false" customHeight="true" outlineLevel="0" collapsed="false">
      <c r="A1674" s="3" t="s">
        <v>1259</v>
      </c>
      <c r="B1674" s="3" t="s">
        <v>1260</v>
      </c>
      <c r="C1674" s="3" t="n">
        <v>226033</v>
      </c>
      <c r="D1674" s="3" t="s">
        <v>1270</v>
      </c>
      <c r="E1674" s="18" t="n">
        <v>45133</v>
      </c>
      <c r="F1674" s="3" t="s">
        <v>1262</v>
      </c>
      <c r="G1674" s="3" t="s">
        <v>5</v>
      </c>
      <c r="H1674" s="19"/>
      <c r="I1674" s="19"/>
      <c r="J1674" s="20"/>
      <c r="K1674" s="20"/>
      <c r="L1674" s="19"/>
      <c r="M1674" s="19"/>
      <c r="N1674" s="19"/>
      <c r="O1674" s="20"/>
      <c r="P1674" s="20"/>
    </row>
    <row r="1675" customFormat="false" ht="14.25" hidden="false" customHeight="true" outlineLevel="0" collapsed="false">
      <c r="A1675" s="3" t="s">
        <v>1259</v>
      </c>
      <c r="B1675" s="3" t="s">
        <v>1260</v>
      </c>
      <c r="C1675" s="3" t="n">
        <v>226033</v>
      </c>
      <c r="D1675" s="3" t="s">
        <v>1271</v>
      </c>
      <c r="E1675" s="18" t="n">
        <v>45140</v>
      </c>
      <c r="F1675" s="3" t="s">
        <v>1262</v>
      </c>
      <c r="G1675" s="3" t="s">
        <v>5</v>
      </c>
      <c r="H1675" s="19"/>
      <c r="I1675" s="19"/>
      <c r="J1675" s="20"/>
      <c r="K1675" s="20"/>
      <c r="L1675" s="19"/>
      <c r="M1675" s="19"/>
      <c r="N1675" s="19"/>
      <c r="O1675" s="20"/>
      <c r="P1675" s="20"/>
    </row>
    <row r="1676" customFormat="false" ht="14.25" hidden="false" customHeight="true" outlineLevel="0" collapsed="false">
      <c r="A1676" s="3" t="s">
        <v>1259</v>
      </c>
      <c r="B1676" s="3" t="s">
        <v>1260</v>
      </c>
      <c r="C1676" s="3" t="n">
        <v>226033</v>
      </c>
      <c r="D1676" s="3" t="s">
        <v>1272</v>
      </c>
      <c r="E1676" s="18" t="n">
        <v>45142</v>
      </c>
      <c r="F1676" s="3" t="s">
        <v>1262</v>
      </c>
      <c r="G1676" s="3" t="s">
        <v>5</v>
      </c>
      <c r="H1676" s="19"/>
      <c r="I1676" s="19"/>
      <c r="J1676" s="20"/>
      <c r="K1676" s="20"/>
      <c r="L1676" s="19"/>
      <c r="M1676" s="19"/>
      <c r="N1676" s="19"/>
      <c r="O1676" s="20"/>
      <c r="P1676" s="20"/>
    </row>
    <row r="1677" customFormat="false" ht="14.25" hidden="false" customHeight="true" outlineLevel="0" collapsed="false">
      <c r="A1677" s="3" t="s">
        <v>1259</v>
      </c>
      <c r="B1677" s="3" t="s">
        <v>1260</v>
      </c>
      <c r="C1677" s="3" t="n">
        <v>226033</v>
      </c>
      <c r="D1677" s="3" t="s">
        <v>1273</v>
      </c>
      <c r="E1677" s="18" t="n">
        <v>45154</v>
      </c>
      <c r="F1677" s="3" t="s">
        <v>1262</v>
      </c>
      <c r="G1677" s="3" t="s">
        <v>5</v>
      </c>
      <c r="H1677" s="19"/>
      <c r="I1677" s="19"/>
      <c r="J1677" s="20"/>
      <c r="K1677" s="20"/>
      <c r="L1677" s="19"/>
      <c r="M1677" s="19"/>
      <c r="N1677" s="19"/>
      <c r="O1677" s="20"/>
      <c r="P1677" s="20"/>
    </row>
    <row r="1678" customFormat="false" ht="14.25" hidden="false" customHeight="true" outlineLevel="0" collapsed="false">
      <c r="A1678" s="3" t="s">
        <v>1259</v>
      </c>
      <c r="B1678" s="3" t="s">
        <v>1260</v>
      </c>
      <c r="C1678" s="3" t="n">
        <v>226033</v>
      </c>
      <c r="D1678" s="3" t="s">
        <v>1276</v>
      </c>
      <c r="E1678" s="18" t="n">
        <v>45167</v>
      </c>
      <c r="F1678" s="3" t="s">
        <v>1262</v>
      </c>
      <c r="G1678" s="3" t="s">
        <v>5</v>
      </c>
      <c r="H1678" s="19"/>
      <c r="I1678" s="19"/>
      <c r="J1678" s="20"/>
      <c r="K1678" s="20"/>
      <c r="L1678" s="19"/>
      <c r="M1678" s="19"/>
      <c r="N1678" s="19"/>
      <c r="O1678" s="20"/>
      <c r="P1678" s="20"/>
    </row>
    <row r="1679" customFormat="false" ht="14.25" hidden="false" customHeight="true" outlineLevel="0" collapsed="false">
      <c r="A1679" s="3" t="s">
        <v>1259</v>
      </c>
      <c r="B1679" s="3" t="s">
        <v>1260</v>
      </c>
      <c r="C1679" s="3" t="n">
        <v>226033</v>
      </c>
      <c r="D1679" s="3" t="s">
        <v>1519</v>
      </c>
      <c r="E1679" s="18" t="n">
        <v>45167</v>
      </c>
      <c r="F1679" s="3" t="s">
        <v>1262</v>
      </c>
      <c r="G1679" s="3" t="s">
        <v>1275</v>
      </c>
      <c r="H1679" s="19"/>
      <c r="I1679" s="19"/>
      <c r="J1679" s="20"/>
      <c r="K1679" s="20"/>
      <c r="L1679" s="19"/>
      <c r="M1679" s="19"/>
      <c r="N1679" s="19"/>
      <c r="O1679" s="20"/>
      <c r="P1679" s="20"/>
    </row>
    <row r="1680" customFormat="false" ht="14.25" hidden="false" customHeight="true" outlineLevel="0" collapsed="false">
      <c r="A1680" s="3" t="s">
        <v>1259</v>
      </c>
      <c r="B1680" s="3" t="s">
        <v>1260</v>
      </c>
      <c r="C1680" s="3" t="n">
        <v>226033</v>
      </c>
      <c r="D1680" s="3" t="s">
        <v>1277</v>
      </c>
      <c r="E1680" s="18" t="n">
        <v>45182</v>
      </c>
      <c r="F1680" s="3" t="s">
        <v>1262</v>
      </c>
      <c r="G1680" s="3" t="s">
        <v>5</v>
      </c>
      <c r="H1680" s="19"/>
      <c r="I1680" s="19"/>
      <c r="J1680" s="20"/>
      <c r="K1680" s="20"/>
      <c r="L1680" s="19"/>
      <c r="M1680" s="19"/>
      <c r="N1680" s="19"/>
      <c r="O1680" s="20"/>
      <c r="P1680" s="20"/>
    </row>
    <row r="1681" customFormat="false" ht="14.25" hidden="false" customHeight="true" outlineLevel="0" collapsed="false">
      <c r="A1681" s="3" t="s">
        <v>1259</v>
      </c>
      <c r="B1681" s="3" t="s">
        <v>1260</v>
      </c>
      <c r="C1681" s="3" t="n">
        <v>226033</v>
      </c>
      <c r="D1681" s="3" t="s">
        <v>1278</v>
      </c>
      <c r="E1681" s="18" t="n">
        <v>45195</v>
      </c>
      <c r="F1681" s="3" t="s">
        <v>1262</v>
      </c>
      <c r="G1681" s="3" t="s">
        <v>5</v>
      </c>
      <c r="H1681" s="19"/>
      <c r="I1681" s="19"/>
      <c r="J1681" s="20"/>
      <c r="K1681" s="20"/>
      <c r="L1681" s="19"/>
      <c r="M1681" s="19"/>
      <c r="N1681" s="19"/>
      <c r="O1681" s="20"/>
      <c r="P1681" s="20"/>
    </row>
    <row r="1682" customFormat="false" ht="14.25" hidden="false" customHeight="true" outlineLevel="0" collapsed="false">
      <c r="A1682" s="3" t="s">
        <v>1259</v>
      </c>
      <c r="B1682" s="3" t="s">
        <v>1260</v>
      </c>
      <c r="C1682" s="3" t="n">
        <v>226033</v>
      </c>
      <c r="D1682" s="3" t="s">
        <v>1488</v>
      </c>
      <c r="E1682" s="18" t="n">
        <v>45196</v>
      </c>
      <c r="F1682" s="3" t="s">
        <v>1262</v>
      </c>
      <c r="G1682" s="3" t="s">
        <v>5</v>
      </c>
      <c r="H1682" s="19"/>
      <c r="I1682" s="19"/>
      <c r="J1682" s="20"/>
      <c r="K1682" s="20"/>
      <c r="L1682" s="19"/>
      <c r="M1682" s="19"/>
      <c r="N1682" s="19"/>
      <c r="O1682" s="20"/>
      <c r="P1682" s="20"/>
    </row>
    <row r="1683" customFormat="false" ht="14.25" hidden="false" customHeight="true" outlineLevel="0" collapsed="false">
      <c r="A1683" s="3" t="s">
        <v>1259</v>
      </c>
      <c r="B1683" s="3" t="s">
        <v>1260</v>
      </c>
      <c r="C1683" s="3" t="n">
        <v>226033</v>
      </c>
      <c r="D1683" s="3" t="s">
        <v>1490</v>
      </c>
      <c r="E1683" s="18" t="n">
        <v>45203</v>
      </c>
      <c r="F1683" s="3" t="s">
        <v>1262</v>
      </c>
      <c r="G1683" s="3" t="s">
        <v>5</v>
      </c>
      <c r="H1683" s="19"/>
      <c r="I1683" s="19"/>
      <c r="J1683" s="20"/>
      <c r="K1683" s="20"/>
      <c r="L1683" s="19"/>
      <c r="M1683" s="19"/>
      <c r="N1683" s="19"/>
      <c r="O1683" s="20"/>
      <c r="P1683" s="20"/>
    </row>
    <row r="1684" customFormat="false" ht="14.25" hidden="false" customHeight="true" outlineLevel="0" collapsed="false">
      <c r="A1684" s="3" t="s">
        <v>1259</v>
      </c>
      <c r="B1684" s="3" t="s">
        <v>1260</v>
      </c>
      <c r="C1684" s="3" t="n">
        <v>226033</v>
      </c>
      <c r="D1684" s="3" t="s">
        <v>1279</v>
      </c>
      <c r="E1684" s="18" t="n">
        <v>45210</v>
      </c>
      <c r="F1684" s="3" t="s">
        <v>1262</v>
      </c>
      <c r="G1684" s="3" t="s">
        <v>5</v>
      </c>
      <c r="H1684" s="19"/>
      <c r="I1684" s="19"/>
      <c r="J1684" s="20"/>
      <c r="K1684" s="20"/>
      <c r="L1684" s="19"/>
      <c r="M1684" s="19"/>
      <c r="N1684" s="19"/>
      <c r="O1684" s="20"/>
      <c r="P1684" s="20"/>
    </row>
    <row r="1685" customFormat="false" ht="14.25" hidden="false" customHeight="true" outlineLevel="0" collapsed="false">
      <c r="A1685" s="3" t="s">
        <v>1259</v>
      </c>
      <c r="B1685" s="3" t="s">
        <v>1260</v>
      </c>
      <c r="C1685" s="3" t="n">
        <v>226033</v>
      </c>
      <c r="D1685" s="3" t="s">
        <v>1281</v>
      </c>
      <c r="E1685" s="18" t="n">
        <v>45224</v>
      </c>
      <c r="F1685" s="3" t="s">
        <v>1262</v>
      </c>
      <c r="G1685" s="3" t="s">
        <v>5</v>
      </c>
      <c r="H1685" s="19"/>
      <c r="I1685" s="19"/>
      <c r="J1685" s="20"/>
      <c r="K1685" s="20"/>
      <c r="L1685" s="19"/>
      <c r="M1685" s="19"/>
      <c r="N1685" s="19"/>
      <c r="O1685" s="20"/>
      <c r="P1685" s="20"/>
    </row>
    <row r="1686" customFormat="false" ht="14.25" hidden="false" customHeight="true" outlineLevel="0" collapsed="false">
      <c r="A1686" s="3" t="s">
        <v>1259</v>
      </c>
      <c r="B1686" s="3" t="s">
        <v>1260</v>
      </c>
      <c r="C1686" s="3" t="n">
        <v>226033</v>
      </c>
      <c r="D1686" s="3" t="s">
        <v>1520</v>
      </c>
      <c r="E1686" s="18" t="n">
        <v>45224</v>
      </c>
      <c r="F1686" s="3" t="s">
        <v>1262</v>
      </c>
      <c r="G1686" s="3" t="s">
        <v>1275</v>
      </c>
      <c r="H1686" s="19"/>
      <c r="I1686" s="19"/>
      <c r="J1686" s="20"/>
      <c r="K1686" s="20"/>
      <c r="L1686" s="19"/>
      <c r="M1686" s="19"/>
      <c r="N1686" s="19"/>
      <c r="O1686" s="20"/>
      <c r="P1686" s="20"/>
    </row>
    <row r="1687" customFormat="false" ht="14.25" hidden="false" customHeight="true" outlineLevel="0" collapsed="false">
      <c r="A1687" s="3" t="s">
        <v>1259</v>
      </c>
      <c r="B1687" s="3" t="s">
        <v>1260</v>
      </c>
      <c r="C1687" s="3" t="n">
        <v>226033</v>
      </c>
      <c r="D1687" s="3" t="s">
        <v>1282</v>
      </c>
      <c r="E1687" s="18" t="n">
        <v>45238</v>
      </c>
      <c r="F1687" s="3" t="s">
        <v>1262</v>
      </c>
      <c r="G1687" s="3" t="s">
        <v>5</v>
      </c>
      <c r="H1687" s="19"/>
      <c r="I1687" s="19"/>
      <c r="J1687" s="20"/>
      <c r="K1687" s="20"/>
      <c r="L1687" s="19"/>
      <c r="M1687" s="19"/>
      <c r="N1687" s="19"/>
      <c r="O1687" s="20"/>
      <c r="P1687" s="20"/>
    </row>
    <row r="1688" customFormat="false" ht="14.25" hidden="false" customHeight="true" outlineLevel="0" collapsed="false">
      <c r="A1688" s="3" t="s">
        <v>1259</v>
      </c>
      <c r="B1688" s="3" t="s">
        <v>1260</v>
      </c>
      <c r="C1688" s="3" t="n">
        <v>226033</v>
      </c>
      <c r="D1688" s="3" t="s">
        <v>1283</v>
      </c>
      <c r="E1688" s="18" t="n">
        <v>45252</v>
      </c>
      <c r="F1688" s="3" t="s">
        <v>1262</v>
      </c>
      <c r="G1688" s="3" t="s">
        <v>5</v>
      </c>
      <c r="H1688" s="19"/>
      <c r="I1688" s="19"/>
      <c r="J1688" s="20"/>
      <c r="K1688" s="20"/>
      <c r="L1688" s="19"/>
      <c r="M1688" s="19"/>
      <c r="N1688" s="19"/>
      <c r="O1688" s="20"/>
      <c r="P1688" s="20"/>
    </row>
    <row r="1689" customFormat="false" ht="14.25" hidden="false" customHeight="true" outlineLevel="0" collapsed="false">
      <c r="A1689" s="3" t="s">
        <v>1259</v>
      </c>
      <c r="B1689" s="3" t="s">
        <v>1260</v>
      </c>
      <c r="C1689" s="3" t="n">
        <v>226033</v>
      </c>
      <c r="D1689" s="3" t="s">
        <v>1284</v>
      </c>
      <c r="E1689" s="18" t="n">
        <v>45265</v>
      </c>
      <c r="F1689" s="3" t="s">
        <v>1262</v>
      </c>
      <c r="G1689" s="3" t="s">
        <v>5</v>
      </c>
      <c r="H1689" s="19"/>
      <c r="I1689" s="19"/>
      <c r="J1689" s="20"/>
      <c r="K1689" s="20"/>
      <c r="L1689" s="19"/>
      <c r="M1689" s="19"/>
      <c r="N1689" s="19"/>
      <c r="O1689" s="20"/>
      <c r="P1689" s="20"/>
    </row>
    <row r="1690" customFormat="false" ht="14.25" hidden="false" customHeight="true" outlineLevel="0" collapsed="false">
      <c r="A1690" s="3" t="s">
        <v>1259</v>
      </c>
      <c r="B1690" s="3" t="s">
        <v>1260</v>
      </c>
      <c r="C1690" s="3" t="n">
        <v>226033</v>
      </c>
      <c r="D1690" s="3" t="s">
        <v>1286</v>
      </c>
      <c r="E1690" s="18" t="n">
        <v>45280</v>
      </c>
      <c r="F1690" s="3" t="s">
        <v>1262</v>
      </c>
      <c r="G1690" s="3" t="s">
        <v>5</v>
      </c>
      <c r="H1690" s="19"/>
      <c r="I1690" s="19"/>
      <c r="J1690" s="20"/>
      <c r="K1690" s="20"/>
      <c r="L1690" s="19"/>
      <c r="M1690" s="19"/>
      <c r="N1690" s="19"/>
      <c r="O1690" s="20"/>
      <c r="P1690" s="20"/>
    </row>
    <row r="1691" customFormat="false" ht="14.25" hidden="false" customHeight="true" outlineLevel="0" collapsed="false">
      <c r="A1691" s="3" t="s">
        <v>1259</v>
      </c>
      <c r="B1691" s="3" t="s">
        <v>1260</v>
      </c>
      <c r="C1691" s="3" t="n">
        <v>226033</v>
      </c>
      <c r="D1691" s="3" t="s">
        <v>1521</v>
      </c>
      <c r="E1691" s="18" t="n">
        <v>45280</v>
      </c>
      <c r="F1691" s="3" t="s">
        <v>1262</v>
      </c>
      <c r="G1691" s="3" t="s">
        <v>1275</v>
      </c>
      <c r="H1691" s="19"/>
      <c r="I1691" s="19"/>
      <c r="J1691" s="20"/>
      <c r="K1691" s="20"/>
      <c r="L1691" s="19"/>
      <c r="M1691" s="19"/>
      <c r="N1691" s="19"/>
      <c r="O1691" s="20"/>
      <c r="P1691" s="20"/>
    </row>
    <row r="1692" customFormat="false" ht="14.25" hidden="false" customHeight="true" outlineLevel="0" collapsed="false">
      <c r="A1692" s="3" t="s">
        <v>1259</v>
      </c>
      <c r="B1692" s="3" t="s">
        <v>1260</v>
      </c>
      <c r="C1692" s="3" t="n">
        <v>226033</v>
      </c>
      <c r="D1692" s="3" t="s">
        <v>1287</v>
      </c>
      <c r="E1692" s="18" t="n">
        <v>45294</v>
      </c>
      <c r="F1692" s="3" t="s">
        <v>1262</v>
      </c>
      <c r="G1692" s="3" t="s">
        <v>5</v>
      </c>
      <c r="H1692" s="19"/>
      <c r="I1692" s="19"/>
      <c r="J1692" s="20"/>
      <c r="K1692" s="20"/>
      <c r="L1692" s="19"/>
      <c r="M1692" s="19"/>
      <c r="N1692" s="19"/>
      <c r="O1692" s="20"/>
      <c r="P1692" s="20"/>
    </row>
    <row r="1693" customFormat="false" ht="14.25" hidden="false" customHeight="true" outlineLevel="0" collapsed="false">
      <c r="A1693" s="3" t="s">
        <v>1259</v>
      </c>
      <c r="B1693" s="3" t="s">
        <v>1260</v>
      </c>
      <c r="C1693" s="3" t="n">
        <v>226033</v>
      </c>
      <c r="D1693" s="3" t="s">
        <v>1288</v>
      </c>
      <c r="E1693" s="18" t="n">
        <v>45308</v>
      </c>
      <c r="F1693" s="3" t="s">
        <v>1262</v>
      </c>
      <c r="G1693" s="3" t="s">
        <v>5</v>
      </c>
      <c r="H1693" s="19"/>
      <c r="I1693" s="19"/>
      <c r="J1693" s="20"/>
      <c r="K1693" s="20"/>
      <c r="L1693" s="19"/>
      <c r="M1693" s="19"/>
      <c r="N1693" s="19"/>
      <c r="O1693" s="20"/>
      <c r="P1693" s="20"/>
    </row>
    <row r="1694" customFormat="false" ht="14.25" hidden="false" customHeight="true" outlineLevel="0" collapsed="false">
      <c r="A1694" s="3" t="s">
        <v>1259</v>
      </c>
      <c r="B1694" s="3" t="s">
        <v>1260</v>
      </c>
      <c r="C1694" s="3" t="n">
        <v>226033</v>
      </c>
      <c r="D1694" s="3" t="s">
        <v>1289</v>
      </c>
      <c r="E1694" s="18" t="n">
        <v>45323</v>
      </c>
      <c r="F1694" s="3" t="s">
        <v>1262</v>
      </c>
      <c r="G1694" s="3" t="s">
        <v>5</v>
      </c>
      <c r="H1694" s="19"/>
      <c r="I1694" s="19"/>
      <c r="J1694" s="20"/>
      <c r="K1694" s="20"/>
      <c r="L1694" s="19"/>
      <c r="M1694" s="19"/>
      <c r="N1694" s="19"/>
      <c r="O1694" s="20"/>
      <c r="P1694" s="20"/>
    </row>
    <row r="1695" customFormat="false" ht="14.25" hidden="false" customHeight="true" outlineLevel="0" collapsed="false">
      <c r="A1695" s="3" t="s">
        <v>1259</v>
      </c>
      <c r="B1695" s="3" t="s">
        <v>1260</v>
      </c>
      <c r="C1695" s="3" t="n">
        <v>226033</v>
      </c>
      <c r="D1695" s="3" t="s">
        <v>1290</v>
      </c>
      <c r="E1695" s="18" t="n">
        <v>45336</v>
      </c>
      <c r="F1695" s="3" t="s">
        <v>1262</v>
      </c>
      <c r="G1695" s="3" t="s">
        <v>5</v>
      </c>
      <c r="H1695" s="19"/>
      <c r="I1695" s="19"/>
      <c r="J1695" s="20"/>
      <c r="K1695" s="20"/>
      <c r="L1695" s="19"/>
      <c r="M1695" s="19"/>
      <c r="N1695" s="19"/>
      <c r="O1695" s="20"/>
      <c r="P1695" s="20"/>
    </row>
    <row r="1696" customFormat="false" ht="14.25" hidden="false" customHeight="true" outlineLevel="0" collapsed="false">
      <c r="A1696" s="3" t="s">
        <v>1259</v>
      </c>
      <c r="B1696" s="3" t="s">
        <v>1260</v>
      </c>
      <c r="C1696" s="3" t="n">
        <v>226033</v>
      </c>
      <c r="D1696" s="3" t="s">
        <v>1352</v>
      </c>
      <c r="E1696" s="18" t="n">
        <v>45336</v>
      </c>
      <c r="F1696" s="3" t="s">
        <v>1262</v>
      </c>
      <c r="G1696" s="3" t="s">
        <v>1275</v>
      </c>
      <c r="H1696" s="19"/>
      <c r="I1696" s="19"/>
      <c r="J1696" s="20"/>
      <c r="K1696" s="20"/>
      <c r="L1696" s="19"/>
      <c r="M1696" s="19"/>
      <c r="N1696" s="19"/>
      <c r="O1696" s="20"/>
      <c r="P1696" s="20"/>
    </row>
    <row r="1697" customFormat="false" ht="14.25" hidden="false" customHeight="true" outlineLevel="0" collapsed="false">
      <c r="A1697" s="3" t="s">
        <v>1259</v>
      </c>
      <c r="B1697" s="3" t="s">
        <v>1260</v>
      </c>
      <c r="C1697" s="3" t="n">
        <v>226033</v>
      </c>
      <c r="D1697" s="3" t="s">
        <v>1292</v>
      </c>
      <c r="E1697" s="18" t="n">
        <v>45350</v>
      </c>
      <c r="F1697" s="3" t="s">
        <v>1262</v>
      </c>
      <c r="G1697" s="3" t="s">
        <v>5</v>
      </c>
      <c r="H1697" s="19"/>
      <c r="I1697" s="19"/>
      <c r="J1697" s="20"/>
      <c r="K1697" s="20"/>
      <c r="L1697" s="19"/>
      <c r="M1697" s="19"/>
      <c r="N1697" s="19"/>
      <c r="O1697" s="20"/>
      <c r="P1697" s="20"/>
    </row>
    <row r="1698" customFormat="false" ht="14.25" hidden="false" customHeight="true" outlineLevel="0" collapsed="false">
      <c r="A1698" s="3" t="s">
        <v>1259</v>
      </c>
      <c r="B1698" s="3" t="s">
        <v>1260</v>
      </c>
      <c r="C1698" s="3" t="n">
        <v>226033</v>
      </c>
      <c r="D1698" s="3" t="s">
        <v>1293</v>
      </c>
      <c r="E1698" s="18" t="n">
        <v>45363</v>
      </c>
      <c r="F1698" s="3" t="s">
        <v>1262</v>
      </c>
      <c r="G1698" s="3" t="s">
        <v>5</v>
      </c>
      <c r="H1698" s="19"/>
      <c r="I1698" s="19"/>
      <c r="J1698" s="20"/>
      <c r="K1698" s="20"/>
      <c r="L1698" s="19"/>
      <c r="M1698" s="19"/>
      <c r="N1698" s="19"/>
      <c r="O1698" s="20"/>
      <c r="P1698" s="20"/>
    </row>
    <row r="1699" customFormat="false" ht="14.25" hidden="false" customHeight="true" outlineLevel="0" collapsed="false">
      <c r="A1699" s="3" t="s">
        <v>1259</v>
      </c>
      <c r="B1699" s="3" t="s">
        <v>1260</v>
      </c>
      <c r="C1699" s="3" t="n">
        <v>226033</v>
      </c>
      <c r="D1699" s="3" t="s">
        <v>1294</v>
      </c>
      <c r="E1699" s="18" t="n">
        <v>45378</v>
      </c>
      <c r="F1699" s="3" t="s">
        <v>1262</v>
      </c>
      <c r="G1699" s="3" t="s">
        <v>5</v>
      </c>
      <c r="H1699" s="19"/>
      <c r="I1699" s="19"/>
      <c r="J1699" s="20"/>
      <c r="K1699" s="20"/>
      <c r="L1699" s="19"/>
      <c r="M1699" s="19"/>
      <c r="N1699" s="19"/>
      <c r="O1699" s="20"/>
      <c r="P1699" s="20"/>
    </row>
    <row r="1700" customFormat="false" ht="14.25" hidden="false" customHeight="true" outlineLevel="0" collapsed="false">
      <c r="A1700" s="3" t="s">
        <v>1259</v>
      </c>
      <c r="B1700" s="3" t="s">
        <v>1260</v>
      </c>
      <c r="C1700" s="3" t="n">
        <v>226033</v>
      </c>
      <c r="D1700" s="3" t="s">
        <v>1295</v>
      </c>
      <c r="E1700" s="18" t="n">
        <v>45393</v>
      </c>
      <c r="F1700" s="3" t="s">
        <v>1262</v>
      </c>
      <c r="G1700" s="3" t="s">
        <v>5</v>
      </c>
      <c r="H1700" s="19"/>
      <c r="I1700" s="19"/>
      <c r="J1700" s="20"/>
      <c r="K1700" s="20"/>
      <c r="L1700" s="19"/>
      <c r="M1700" s="19"/>
      <c r="N1700" s="19"/>
      <c r="O1700" s="20"/>
      <c r="P1700" s="20"/>
    </row>
    <row r="1701" customFormat="false" ht="14.25" hidden="false" customHeight="true" outlineLevel="0" collapsed="false">
      <c r="A1701" s="3" t="s">
        <v>1259</v>
      </c>
      <c r="B1701" s="3" t="s">
        <v>1260</v>
      </c>
      <c r="C1701" s="3" t="n">
        <v>226033</v>
      </c>
      <c r="D1701" s="3" t="s">
        <v>1452</v>
      </c>
      <c r="E1701" s="18" t="n">
        <v>45393</v>
      </c>
      <c r="F1701" s="3" t="s">
        <v>1262</v>
      </c>
      <c r="G1701" s="3" t="s">
        <v>1275</v>
      </c>
      <c r="H1701" s="19"/>
      <c r="I1701" s="19"/>
      <c r="J1701" s="20"/>
      <c r="K1701" s="20"/>
      <c r="L1701" s="19"/>
      <c r="M1701" s="19"/>
      <c r="N1701" s="19"/>
      <c r="O1701" s="20"/>
      <c r="P1701" s="20"/>
    </row>
    <row r="1702" customFormat="false" ht="14.25" hidden="false" customHeight="true" outlineLevel="0" collapsed="false">
      <c r="A1702" s="3" t="s">
        <v>1259</v>
      </c>
      <c r="B1702" s="3" t="s">
        <v>1260</v>
      </c>
      <c r="C1702" s="3" t="n">
        <v>226033</v>
      </c>
      <c r="D1702" s="3" t="s">
        <v>1297</v>
      </c>
      <c r="E1702" s="18" t="n">
        <v>45406</v>
      </c>
      <c r="F1702" s="3" t="s">
        <v>1262</v>
      </c>
      <c r="G1702" s="3" t="s">
        <v>5</v>
      </c>
      <c r="H1702" s="19"/>
      <c r="I1702" s="19"/>
      <c r="J1702" s="20"/>
      <c r="K1702" s="20"/>
      <c r="L1702" s="19"/>
      <c r="M1702" s="19"/>
      <c r="N1702" s="19"/>
      <c r="O1702" s="20"/>
      <c r="P1702" s="20"/>
    </row>
    <row r="1703" customFormat="false" ht="14.25" hidden="false" customHeight="true" outlineLevel="0" collapsed="false">
      <c r="A1703" s="3" t="s">
        <v>1259</v>
      </c>
      <c r="B1703" s="3" t="s">
        <v>1260</v>
      </c>
      <c r="C1703" s="3" t="n">
        <v>226033</v>
      </c>
      <c r="D1703" s="3" t="s">
        <v>1298</v>
      </c>
      <c r="E1703" s="18" t="n">
        <v>45420</v>
      </c>
      <c r="F1703" s="3" t="s">
        <v>1262</v>
      </c>
      <c r="G1703" s="3" t="s">
        <v>5</v>
      </c>
      <c r="H1703" s="19"/>
      <c r="I1703" s="19"/>
      <c r="J1703" s="20"/>
      <c r="K1703" s="20"/>
      <c r="L1703" s="19"/>
      <c r="M1703" s="19"/>
      <c r="N1703" s="19"/>
      <c r="O1703" s="20"/>
      <c r="P1703" s="20"/>
    </row>
    <row r="1704" customFormat="false" ht="14.25" hidden="false" customHeight="true" outlineLevel="0" collapsed="false">
      <c r="A1704" s="3" t="s">
        <v>1259</v>
      </c>
      <c r="B1704" s="3" t="s">
        <v>1260</v>
      </c>
      <c r="C1704" s="3" t="n">
        <v>226033</v>
      </c>
      <c r="D1704" s="3" t="s">
        <v>1299</v>
      </c>
      <c r="E1704" s="18" t="n">
        <v>45434</v>
      </c>
      <c r="F1704" s="3" t="s">
        <v>1262</v>
      </c>
      <c r="G1704" s="3" t="s">
        <v>5</v>
      </c>
      <c r="H1704" s="19"/>
      <c r="I1704" s="19"/>
      <c r="J1704" s="20"/>
      <c r="K1704" s="20"/>
      <c r="L1704" s="19"/>
      <c r="M1704" s="19"/>
      <c r="N1704" s="19"/>
      <c r="O1704" s="20"/>
      <c r="P1704" s="20"/>
    </row>
    <row r="1705" customFormat="false" ht="14.25" hidden="false" customHeight="true" outlineLevel="0" collapsed="false">
      <c r="A1705" s="3" t="s">
        <v>1259</v>
      </c>
      <c r="B1705" s="3" t="s">
        <v>1260</v>
      </c>
      <c r="C1705" s="3" t="n">
        <v>226033</v>
      </c>
      <c r="D1705" s="3" t="s">
        <v>1489</v>
      </c>
      <c r="F1705" s="3" t="s">
        <v>1262</v>
      </c>
      <c r="G1705" s="3" t="s">
        <v>5</v>
      </c>
      <c r="H1705" s="19"/>
      <c r="I1705" s="19"/>
      <c r="J1705" s="20"/>
      <c r="K1705" s="20"/>
      <c r="L1705" s="19"/>
      <c r="M1705" s="19"/>
      <c r="N1705" s="19"/>
      <c r="O1705" s="20"/>
      <c r="P1705" s="20"/>
    </row>
    <row r="1706" customFormat="false" ht="14.25" hidden="false" customHeight="true" outlineLevel="0" collapsed="false">
      <c r="A1706" s="3" t="s">
        <v>1259</v>
      </c>
      <c r="B1706" s="3" t="s">
        <v>1260</v>
      </c>
      <c r="C1706" s="3" t="n">
        <v>226035</v>
      </c>
      <c r="D1706" s="3" t="s">
        <v>1261</v>
      </c>
      <c r="E1706" s="18" t="n">
        <v>45100</v>
      </c>
      <c r="F1706" s="3" t="s">
        <v>1262</v>
      </c>
      <c r="G1706" s="3" t="s">
        <v>5</v>
      </c>
      <c r="H1706" s="19" t="n">
        <v>45100</v>
      </c>
      <c r="I1706" s="19" t="n">
        <v>44957</v>
      </c>
      <c r="J1706" s="20" t="n">
        <v>64</v>
      </c>
      <c r="K1706" s="20" t="s">
        <v>1313</v>
      </c>
      <c r="L1706" s="19" t="s">
        <v>12</v>
      </c>
      <c r="M1706" s="19"/>
      <c r="N1706" s="19"/>
      <c r="O1706" s="20"/>
      <c r="P1706" s="20"/>
    </row>
    <row r="1707" customFormat="false" ht="14.25" hidden="false" customHeight="true" outlineLevel="0" collapsed="false">
      <c r="A1707" s="3" t="s">
        <v>1259</v>
      </c>
      <c r="B1707" s="3" t="s">
        <v>1260</v>
      </c>
      <c r="C1707" s="3" t="n">
        <v>226035</v>
      </c>
      <c r="D1707" s="3" t="s">
        <v>1264</v>
      </c>
      <c r="E1707" s="18" t="n">
        <v>45112</v>
      </c>
      <c r="F1707" s="3" t="s">
        <v>1262</v>
      </c>
      <c r="G1707" s="3" t="s">
        <v>5</v>
      </c>
      <c r="H1707" s="19"/>
      <c r="I1707" s="19"/>
      <c r="J1707" s="20"/>
      <c r="K1707" s="20"/>
      <c r="L1707" s="19"/>
      <c r="M1707" s="19"/>
      <c r="N1707" s="19"/>
      <c r="O1707" s="20"/>
      <c r="P1707" s="20"/>
    </row>
    <row r="1708" customFormat="false" ht="14.25" hidden="false" customHeight="true" outlineLevel="0" collapsed="false">
      <c r="A1708" s="3" t="s">
        <v>1259</v>
      </c>
      <c r="B1708" s="3" t="s">
        <v>1260</v>
      </c>
      <c r="C1708" s="3" t="n">
        <v>226035</v>
      </c>
      <c r="D1708" s="3" t="s">
        <v>1265</v>
      </c>
      <c r="E1708" s="18" t="n">
        <v>45114</v>
      </c>
      <c r="F1708" s="3" t="s">
        <v>1262</v>
      </c>
      <c r="G1708" s="3" t="s">
        <v>5</v>
      </c>
      <c r="H1708" s="19"/>
      <c r="I1708" s="19"/>
      <c r="J1708" s="20"/>
      <c r="K1708" s="20"/>
      <c r="L1708" s="19"/>
      <c r="M1708" s="19"/>
      <c r="N1708" s="19"/>
      <c r="O1708" s="20"/>
      <c r="P1708" s="20"/>
    </row>
    <row r="1709" customFormat="false" ht="14.25" hidden="false" customHeight="true" outlineLevel="0" collapsed="false">
      <c r="A1709" s="3" t="s">
        <v>1259</v>
      </c>
      <c r="B1709" s="3" t="s">
        <v>1260</v>
      </c>
      <c r="C1709" s="3" t="n">
        <v>226035</v>
      </c>
      <c r="D1709" s="3" t="s">
        <v>1266</v>
      </c>
      <c r="E1709" s="18" t="n">
        <v>45119</v>
      </c>
      <c r="F1709" s="3" t="s">
        <v>1262</v>
      </c>
      <c r="G1709" s="3" t="s">
        <v>5</v>
      </c>
      <c r="H1709" s="19"/>
      <c r="I1709" s="19"/>
      <c r="J1709" s="20"/>
      <c r="K1709" s="20"/>
      <c r="L1709" s="19"/>
      <c r="M1709" s="19"/>
      <c r="N1709" s="19"/>
      <c r="O1709" s="20"/>
      <c r="P1709" s="20"/>
    </row>
    <row r="1710" customFormat="false" ht="14.25" hidden="false" customHeight="true" outlineLevel="0" collapsed="false">
      <c r="A1710" s="3" t="s">
        <v>1259</v>
      </c>
      <c r="B1710" s="3" t="s">
        <v>1260</v>
      </c>
      <c r="C1710" s="3" t="n">
        <v>226035</v>
      </c>
      <c r="D1710" s="3" t="s">
        <v>1269</v>
      </c>
      <c r="E1710" s="18" t="n">
        <v>45127</v>
      </c>
      <c r="F1710" s="3" t="s">
        <v>1262</v>
      </c>
      <c r="G1710" s="3" t="s">
        <v>5</v>
      </c>
      <c r="H1710" s="19"/>
      <c r="I1710" s="19"/>
      <c r="J1710" s="20"/>
      <c r="K1710" s="20"/>
      <c r="L1710" s="19"/>
      <c r="M1710" s="19"/>
      <c r="N1710" s="19"/>
      <c r="O1710" s="20"/>
      <c r="P1710" s="20"/>
    </row>
    <row r="1711" customFormat="false" ht="14.25" hidden="false" customHeight="true" outlineLevel="0" collapsed="false">
      <c r="A1711" s="3" t="s">
        <v>1259</v>
      </c>
      <c r="B1711" s="3" t="s">
        <v>1260</v>
      </c>
      <c r="C1711" s="3" t="n">
        <v>226035</v>
      </c>
      <c r="D1711" s="3" t="s">
        <v>1270</v>
      </c>
      <c r="E1711" s="18" t="n">
        <v>45134</v>
      </c>
      <c r="F1711" s="3" t="s">
        <v>1262</v>
      </c>
      <c r="G1711" s="3" t="s">
        <v>5</v>
      </c>
      <c r="H1711" s="19"/>
      <c r="I1711" s="19"/>
      <c r="J1711" s="20"/>
      <c r="K1711" s="20"/>
      <c r="L1711" s="19"/>
      <c r="M1711" s="19"/>
      <c r="N1711" s="19"/>
      <c r="O1711" s="20"/>
      <c r="P1711" s="20"/>
    </row>
    <row r="1712" customFormat="false" ht="14.25" hidden="false" customHeight="true" outlineLevel="0" collapsed="false">
      <c r="A1712" s="3" t="s">
        <v>1259</v>
      </c>
      <c r="B1712" s="3" t="s">
        <v>1260</v>
      </c>
      <c r="C1712" s="3" t="n">
        <v>226035</v>
      </c>
      <c r="D1712" s="3" t="s">
        <v>1271</v>
      </c>
      <c r="E1712" s="18" t="n">
        <v>45139</v>
      </c>
      <c r="F1712" s="3" t="s">
        <v>1262</v>
      </c>
      <c r="G1712" s="3" t="s">
        <v>5</v>
      </c>
      <c r="H1712" s="19"/>
      <c r="I1712" s="19"/>
      <c r="J1712" s="20"/>
      <c r="K1712" s="20"/>
      <c r="L1712" s="19"/>
      <c r="M1712" s="19"/>
      <c r="N1712" s="19"/>
      <c r="O1712" s="20"/>
      <c r="P1712" s="20"/>
    </row>
    <row r="1713" customFormat="false" ht="14.25" hidden="false" customHeight="true" outlineLevel="0" collapsed="false">
      <c r="A1713" s="3" t="s">
        <v>1259</v>
      </c>
      <c r="B1713" s="3" t="s">
        <v>1260</v>
      </c>
      <c r="C1713" s="3" t="n">
        <v>226035</v>
      </c>
      <c r="D1713" s="3" t="s">
        <v>1272</v>
      </c>
      <c r="E1713" s="18" t="n">
        <v>45141</v>
      </c>
      <c r="F1713" s="3" t="s">
        <v>1262</v>
      </c>
      <c r="G1713" s="3" t="s">
        <v>5</v>
      </c>
      <c r="H1713" s="19"/>
      <c r="I1713" s="19"/>
      <c r="J1713" s="20"/>
      <c r="K1713" s="20"/>
      <c r="L1713" s="19"/>
      <c r="M1713" s="19"/>
      <c r="N1713" s="19"/>
      <c r="O1713" s="20"/>
      <c r="P1713" s="20"/>
    </row>
    <row r="1714" customFormat="false" ht="14.25" hidden="false" customHeight="true" outlineLevel="0" collapsed="false">
      <c r="A1714" s="3" t="s">
        <v>1259</v>
      </c>
      <c r="B1714" s="3" t="s">
        <v>1260</v>
      </c>
      <c r="C1714" s="3" t="n">
        <v>226035</v>
      </c>
      <c r="D1714" s="3" t="s">
        <v>1273</v>
      </c>
      <c r="E1714" s="18" t="n">
        <v>45154</v>
      </c>
      <c r="F1714" s="3" t="s">
        <v>1262</v>
      </c>
      <c r="G1714" s="3" t="s">
        <v>5</v>
      </c>
      <c r="H1714" s="19"/>
      <c r="I1714" s="19"/>
      <c r="J1714" s="20"/>
      <c r="K1714" s="20"/>
      <c r="L1714" s="19"/>
      <c r="M1714" s="19"/>
      <c r="N1714" s="19"/>
      <c r="O1714" s="20"/>
      <c r="P1714" s="20"/>
    </row>
    <row r="1715" customFormat="false" ht="14.25" hidden="false" customHeight="true" outlineLevel="0" collapsed="false">
      <c r="A1715" s="3" t="s">
        <v>1259</v>
      </c>
      <c r="B1715" s="3" t="s">
        <v>1260</v>
      </c>
      <c r="C1715" s="3" t="n">
        <v>226035</v>
      </c>
      <c r="D1715" s="3" t="s">
        <v>1466</v>
      </c>
      <c r="E1715" s="18" t="n">
        <v>45168</v>
      </c>
      <c r="F1715" s="3" t="s">
        <v>1262</v>
      </c>
      <c r="G1715" s="3" t="s">
        <v>1275</v>
      </c>
      <c r="H1715" s="19"/>
      <c r="I1715" s="19"/>
      <c r="J1715" s="20"/>
      <c r="K1715" s="20"/>
      <c r="L1715" s="19"/>
      <c r="M1715" s="19"/>
      <c r="N1715" s="19"/>
      <c r="O1715" s="20"/>
      <c r="P1715" s="20"/>
    </row>
    <row r="1716" customFormat="false" ht="14.25" hidden="false" customHeight="true" outlineLevel="0" collapsed="false">
      <c r="A1716" s="3" t="s">
        <v>1259</v>
      </c>
      <c r="B1716" s="3" t="s">
        <v>1260</v>
      </c>
      <c r="C1716" s="3" t="n">
        <v>226035</v>
      </c>
      <c r="D1716" s="3" t="s">
        <v>1276</v>
      </c>
      <c r="E1716" s="18" t="n">
        <v>45169</v>
      </c>
      <c r="F1716" s="3" t="s">
        <v>1262</v>
      </c>
      <c r="G1716" s="3" t="s">
        <v>5</v>
      </c>
      <c r="H1716" s="19"/>
      <c r="I1716" s="19"/>
      <c r="J1716" s="20"/>
      <c r="K1716" s="20"/>
      <c r="L1716" s="19"/>
      <c r="M1716" s="19"/>
      <c r="N1716" s="19"/>
      <c r="O1716" s="20"/>
      <c r="P1716" s="20"/>
    </row>
    <row r="1717" customFormat="false" ht="14.25" hidden="false" customHeight="true" outlineLevel="0" collapsed="false">
      <c r="A1717" s="3" t="s">
        <v>1259</v>
      </c>
      <c r="B1717" s="3" t="s">
        <v>1260</v>
      </c>
      <c r="C1717" s="3" t="n">
        <v>226035</v>
      </c>
      <c r="D1717" s="3" t="s">
        <v>1277</v>
      </c>
      <c r="E1717" s="18" t="n">
        <v>45183</v>
      </c>
      <c r="F1717" s="3" t="s">
        <v>1262</v>
      </c>
      <c r="G1717" s="3" t="s">
        <v>5</v>
      </c>
      <c r="H1717" s="19"/>
      <c r="I1717" s="19"/>
      <c r="J1717" s="20"/>
      <c r="K1717" s="20"/>
      <c r="L1717" s="19"/>
      <c r="M1717" s="19"/>
      <c r="N1717" s="19"/>
      <c r="O1717" s="20"/>
      <c r="P1717" s="20"/>
    </row>
    <row r="1718" customFormat="false" ht="14.25" hidden="false" customHeight="true" outlineLevel="0" collapsed="false">
      <c r="A1718" s="3" t="s">
        <v>1259</v>
      </c>
      <c r="B1718" s="3" t="s">
        <v>1260</v>
      </c>
      <c r="C1718" s="3" t="n">
        <v>226035</v>
      </c>
      <c r="D1718" s="3" t="s">
        <v>1278</v>
      </c>
      <c r="E1718" s="18" t="n">
        <v>45195</v>
      </c>
      <c r="F1718" s="3" t="s">
        <v>1262</v>
      </c>
      <c r="G1718" s="3" t="s">
        <v>5</v>
      </c>
      <c r="H1718" s="19"/>
      <c r="I1718" s="19"/>
      <c r="J1718" s="20"/>
      <c r="K1718" s="20"/>
      <c r="L1718" s="19"/>
      <c r="M1718" s="19"/>
      <c r="N1718" s="19"/>
      <c r="O1718" s="20"/>
      <c r="P1718" s="20"/>
    </row>
    <row r="1719" customFormat="false" ht="14.25" hidden="false" customHeight="true" outlineLevel="0" collapsed="false">
      <c r="A1719" s="3" t="s">
        <v>1259</v>
      </c>
      <c r="B1719" s="3" t="s">
        <v>1260</v>
      </c>
      <c r="C1719" s="3" t="n">
        <v>226035</v>
      </c>
      <c r="D1719" s="3" t="s">
        <v>1279</v>
      </c>
      <c r="E1719" s="18" t="n">
        <v>45210</v>
      </c>
      <c r="F1719" s="3" t="s">
        <v>1262</v>
      </c>
      <c r="G1719" s="3" t="s">
        <v>5</v>
      </c>
      <c r="H1719" s="19"/>
      <c r="I1719" s="19"/>
      <c r="J1719" s="20"/>
      <c r="K1719" s="20"/>
      <c r="L1719" s="19"/>
      <c r="M1719" s="19"/>
      <c r="N1719" s="19"/>
      <c r="O1719" s="20"/>
      <c r="P1719" s="20"/>
    </row>
    <row r="1720" customFormat="false" ht="14.25" hidden="false" customHeight="true" outlineLevel="0" collapsed="false">
      <c r="A1720" s="3" t="s">
        <v>1259</v>
      </c>
      <c r="B1720" s="3" t="s">
        <v>1260</v>
      </c>
      <c r="C1720" s="3" t="n">
        <v>226035</v>
      </c>
      <c r="D1720" s="3" t="s">
        <v>1522</v>
      </c>
      <c r="E1720" s="18" t="n">
        <v>45219</v>
      </c>
      <c r="F1720" s="3" t="s">
        <v>1262</v>
      </c>
      <c r="G1720" s="3" t="s">
        <v>1275</v>
      </c>
      <c r="H1720" s="19"/>
      <c r="I1720" s="19"/>
      <c r="J1720" s="20"/>
      <c r="K1720" s="20"/>
      <c r="L1720" s="19"/>
      <c r="M1720" s="19"/>
      <c r="N1720" s="19"/>
      <c r="O1720" s="20"/>
      <c r="P1720" s="20"/>
    </row>
    <row r="1721" customFormat="false" ht="14.25" hidden="false" customHeight="true" outlineLevel="0" collapsed="false">
      <c r="A1721" s="3" t="s">
        <v>1259</v>
      </c>
      <c r="B1721" s="3" t="s">
        <v>1260</v>
      </c>
      <c r="C1721" s="3" t="n">
        <v>226035</v>
      </c>
      <c r="D1721" s="3" t="s">
        <v>1281</v>
      </c>
      <c r="E1721" s="18" t="n">
        <v>45223</v>
      </c>
      <c r="F1721" s="3" t="s">
        <v>1262</v>
      </c>
      <c r="G1721" s="3" t="s">
        <v>5</v>
      </c>
      <c r="H1721" s="19"/>
      <c r="I1721" s="19"/>
      <c r="J1721" s="20"/>
      <c r="K1721" s="20"/>
      <c r="L1721" s="19"/>
      <c r="M1721" s="19"/>
      <c r="N1721" s="19"/>
      <c r="O1721" s="20"/>
      <c r="P1721" s="20"/>
    </row>
    <row r="1722" customFormat="false" ht="14.25" hidden="false" customHeight="true" outlineLevel="0" collapsed="false">
      <c r="A1722" s="3" t="s">
        <v>1259</v>
      </c>
      <c r="B1722" s="3" t="s">
        <v>1260</v>
      </c>
      <c r="C1722" s="3" t="n">
        <v>226035</v>
      </c>
      <c r="D1722" s="3" t="s">
        <v>1282</v>
      </c>
      <c r="E1722" s="18" t="n">
        <v>45237</v>
      </c>
      <c r="F1722" s="3" t="s">
        <v>1262</v>
      </c>
      <c r="G1722" s="3" t="s">
        <v>5</v>
      </c>
      <c r="H1722" s="19"/>
      <c r="I1722" s="19"/>
      <c r="J1722" s="20"/>
      <c r="K1722" s="20"/>
      <c r="L1722" s="19"/>
      <c r="M1722" s="19"/>
      <c r="N1722" s="19"/>
      <c r="O1722" s="20"/>
      <c r="P1722" s="20"/>
    </row>
    <row r="1723" customFormat="false" ht="14.25" hidden="false" customHeight="true" outlineLevel="0" collapsed="false">
      <c r="A1723" s="3" t="s">
        <v>1259</v>
      </c>
      <c r="B1723" s="3" t="s">
        <v>1260</v>
      </c>
      <c r="C1723" s="3" t="n">
        <v>226035</v>
      </c>
      <c r="D1723" s="3" t="s">
        <v>1283</v>
      </c>
      <c r="E1723" s="18" t="n">
        <v>45252</v>
      </c>
      <c r="F1723" s="3" t="s">
        <v>1262</v>
      </c>
      <c r="G1723" s="3" t="s">
        <v>5</v>
      </c>
      <c r="H1723" s="19"/>
      <c r="I1723" s="19"/>
      <c r="J1723" s="20"/>
      <c r="K1723" s="20"/>
      <c r="L1723" s="19"/>
      <c r="M1723" s="19"/>
      <c r="N1723" s="19"/>
      <c r="O1723" s="20"/>
      <c r="P1723" s="20"/>
    </row>
    <row r="1724" customFormat="false" ht="14.25" hidden="false" customHeight="true" outlineLevel="0" collapsed="false">
      <c r="A1724" s="3" t="s">
        <v>1259</v>
      </c>
      <c r="B1724" s="3" t="s">
        <v>1260</v>
      </c>
      <c r="C1724" s="3" t="n">
        <v>226035</v>
      </c>
      <c r="D1724" s="3" t="s">
        <v>1284</v>
      </c>
      <c r="E1724" s="18" t="n">
        <v>45265</v>
      </c>
      <c r="F1724" s="3" t="s">
        <v>1262</v>
      </c>
      <c r="G1724" s="3" t="s">
        <v>5</v>
      </c>
      <c r="H1724" s="19"/>
      <c r="I1724" s="19"/>
      <c r="J1724" s="20"/>
      <c r="K1724" s="20"/>
      <c r="L1724" s="19"/>
      <c r="M1724" s="19"/>
      <c r="N1724" s="19"/>
      <c r="O1724" s="20"/>
      <c r="P1724" s="20"/>
    </row>
    <row r="1725" customFormat="false" ht="14.25" hidden="false" customHeight="true" outlineLevel="0" collapsed="false">
      <c r="A1725" s="3" t="s">
        <v>1259</v>
      </c>
      <c r="B1725" s="3" t="s">
        <v>1260</v>
      </c>
      <c r="C1725" s="3" t="n">
        <v>226035</v>
      </c>
      <c r="D1725" s="3" t="s">
        <v>1426</v>
      </c>
      <c r="E1725" s="18" t="n">
        <v>45272</v>
      </c>
      <c r="F1725" s="3" t="s">
        <v>1262</v>
      </c>
      <c r="G1725" s="3" t="s">
        <v>1275</v>
      </c>
      <c r="H1725" s="19"/>
      <c r="I1725" s="19"/>
      <c r="J1725" s="20"/>
      <c r="K1725" s="20"/>
      <c r="L1725" s="19"/>
      <c r="M1725" s="19"/>
      <c r="N1725" s="19"/>
      <c r="O1725" s="20"/>
      <c r="P1725" s="20"/>
    </row>
    <row r="1726" customFormat="false" ht="14.25" hidden="false" customHeight="true" outlineLevel="0" collapsed="false">
      <c r="A1726" s="3" t="s">
        <v>1259</v>
      </c>
      <c r="B1726" s="3" t="s">
        <v>1260</v>
      </c>
      <c r="C1726" s="3" t="n">
        <v>226035</v>
      </c>
      <c r="D1726" s="3" t="s">
        <v>1286</v>
      </c>
      <c r="E1726" s="18" t="n">
        <v>45279</v>
      </c>
      <c r="F1726" s="3" t="s">
        <v>1262</v>
      </c>
      <c r="G1726" s="3" t="s">
        <v>5</v>
      </c>
      <c r="H1726" s="19"/>
      <c r="I1726" s="19"/>
      <c r="J1726" s="20"/>
      <c r="K1726" s="20"/>
      <c r="L1726" s="19"/>
      <c r="M1726" s="19"/>
      <c r="N1726" s="19"/>
      <c r="O1726" s="20"/>
      <c r="P1726" s="20"/>
    </row>
    <row r="1727" customFormat="false" ht="14.25" hidden="false" customHeight="true" outlineLevel="0" collapsed="false">
      <c r="A1727" s="3" t="s">
        <v>1259</v>
      </c>
      <c r="B1727" s="3" t="s">
        <v>1260</v>
      </c>
      <c r="C1727" s="3" t="n">
        <v>226035</v>
      </c>
      <c r="D1727" s="3" t="s">
        <v>1287</v>
      </c>
      <c r="E1727" s="18" t="n">
        <v>45293</v>
      </c>
      <c r="F1727" s="3" t="s">
        <v>1262</v>
      </c>
      <c r="G1727" s="3" t="s">
        <v>5</v>
      </c>
      <c r="H1727" s="19"/>
      <c r="I1727" s="19"/>
      <c r="J1727" s="20"/>
      <c r="K1727" s="20"/>
      <c r="L1727" s="19"/>
      <c r="M1727" s="19"/>
      <c r="N1727" s="19"/>
      <c r="O1727" s="20"/>
      <c r="P1727" s="20"/>
    </row>
    <row r="1728" customFormat="false" ht="14.25" hidden="false" customHeight="true" outlineLevel="0" collapsed="false">
      <c r="A1728" s="3" t="s">
        <v>1259</v>
      </c>
      <c r="B1728" s="3" t="s">
        <v>1260</v>
      </c>
      <c r="C1728" s="3" t="n">
        <v>226035</v>
      </c>
      <c r="D1728" s="3" t="s">
        <v>1288</v>
      </c>
      <c r="E1728" s="18" t="n">
        <v>45308</v>
      </c>
      <c r="F1728" s="3" t="s">
        <v>1262</v>
      </c>
      <c r="G1728" s="3" t="s">
        <v>5</v>
      </c>
      <c r="H1728" s="19"/>
      <c r="I1728" s="19"/>
      <c r="J1728" s="20"/>
      <c r="K1728" s="20"/>
      <c r="L1728" s="19"/>
      <c r="M1728" s="19"/>
      <c r="N1728" s="19"/>
      <c r="O1728" s="20"/>
      <c r="P1728" s="20"/>
    </row>
    <row r="1729" customFormat="false" ht="14.25" hidden="false" customHeight="true" outlineLevel="0" collapsed="false">
      <c r="A1729" s="3" t="s">
        <v>1259</v>
      </c>
      <c r="B1729" s="3" t="s">
        <v>1260</v>
      </c>
      <c r="C1729" s="3" t="n">
        <v>226035</v>
      </c>
      <c r="D1729" s="3" t="s">
        <v>1289</v>
      </c>
      <c r="E1729" s="18" t="n">
        <v>45321</v>
      </c>
      <c r="F1729" s="3" t="s">
        <v>1262</v>
      </c>
      <c r="G1729" s="3" t="s">
        <v>5</v>
      </c>
      <c r="H1729" s="19"/>
      <c r="I1729" s="19"/>
      <c r="J1729" s="20"/>
      <c r="K1729" s="20"/>
      <c r="L1729" s="19"/>
      <c r="M1729" s="19"/>
      <c r="N1729" s="19"/>
      <c r="O1729" s="20"/>
      <c r="P1729" s="20"/>
    </row>
    <row r="1730" customFormat="false" ht="14.25" hidden="false" customHeight="true" outlineLevel="0" collapsed="false">
      <c r="A1730" s="3" t="s">
        <v>1259</v>
      </c>
      <c r="B1730" s="3" t="s">
        <v>1260</v>
      </c>
      <c r="C1730" s="3" t="n">
        <v>226035</v>
      </c>
      <c r="D1730" s="3" t="s">
        <v>1523</v>
      </c>
      <c r="E1730" s="18" t="n">
        <v>45330</v>
      </c>
      <c r="F1730" s="3" t="s">
        <v>1262</v>
      </c>
      <c r="G1730" s="3" t="s">
        <v>1275</v>
      </c>
      <c r="H1730" s="19"/>
      <c r="I1730" s="19"/>
      <c r="J1730" s="20"/>
      <c r="K1730" s="20"/>
      <c r="L1730" s="19"/>
      <c r="M1730" s="19"/>
      <c r="N1730" s="19"/>
      <c r="O1730" s="20"/>
      <c r="P1730" s="20"/>
    </row>
    <row r="1731" customFormat="false" ht="14.25" hidden="false" customHeight="true" outlineLevel="0" collapsed="false">
      <c r="A1731" s="3" t="s">
        <v>1259</v>
      </c>
      <c r="B1731" s="3" t="s">
        <v>1260</v>
      </c>
      <c r="C1731" s="3" t="n">
        <v>226035</v>
      </c>
      <c r="D1731" s="3" t="s">
        <v>1290</v>
      </c>
      <c r="E1731" s="18" t="n">
        <v>45337</v>
      </c>
      <c r="F1731" s="3" t="s">
        <v>1262</v>
      </c>
      <c r="G1731" s="3" t="s">
        <v>5</v>
      </c>
      <c r="H1731" s="19"/>
      <c r="I1731" s="19"/>
      <c r="J1731" s="20"/>
      <c r="K1731" s="20"/>
      <c r="L1731" s="19"/>
      <c r="M1731" s="19"/>
      <c r="N1731" s="19"/>
      <c r="O1731" s="20"/>
      <c r="P1731" s="20"/>
    </row>
    <row r="1732" customFormat="false" ht="14.25" hidden="false" customHeight="true" outlineLevel="0" collapsed="false">
      <c r="A1732" s="3" t="s">
        <v>1259</v>
      </c>
      <c r="B1732" s="3" t="s">
        <v>1260</v>
      </c>
      <c r="C1732" s="3" t="n">
        <v>226035</v>
      </c>
      <c r="D1732" s="3" t="s">
        <v>1292</v>
      </c>
      <c r="E1732" s="18" t="n">
        <v>45349</v>
      </c>
      <c r="F1732" s="3" t="s">
        <v>1262</v>
      </c>
      <c r="G1732" s="3" t="s">
        <v>5</v>
      </c>
      <c r="H1732" s="19"/>
      <c r="I1732" s="19"/>
      <c r="J1732" s="20"/>
      <c r="K1732" s="20"/>
      <c r="L1732" s="19"/>
      <c r="M1732" s="19"/>
      <c r="N1732" s="19"/>
      <c r="O1732" s="20"/>
      <c r="P1732" s="20"/>
    </row>
    <row r="1733" customFormat="false" ht="14.25" hidden="false" customHeight="true" outlineLevel="0" collapsed="false">
      <c r="A1733" s="3" t="s">
        <v>1259</v>
      </c>
      <c r="B1733" s="3" t="s">
        <v>1260</v>
      </c>
      <c r="C1733" s="3" t="n">
        <v>226035</v>
      </c>
      <c r="D1733" s="3" t="s">
        <v>1293</v>
      </c>
      <c r="E1733" s="18" t="n">
        <v>45363</v>
      </c>
      <c r="F1733" s="3" t="s">
        <v>1262</v>
      </c>
      <c r="G1733" s="3" t="s">
        <v>5</v>
      </c>
      <c r="H1733" s="19"/>
      <c r="I1733" s="19"/>
      <c r="J1733" s="20"/>
      <c r="K1733" s="20"/>
      <c r="L1733" s="19"/>
      <c r="M1733" s="19"/>
      <c r="N1733" s="19"/>
      <c r="O1733" s="20"/>
      <c r="P1733" s="20"/>
    </row>
    <row r="1734" customFormat="false" ht="14.25" hidden="false" customHeight="true" outlineLevel="0" collapsed="false">
      <c r="A1734" s="3" t="s">
        <v>1259</v>
      </c>
      <c r="B1734" s="3" t="s">
        <v>1260</v>
      </c>
      <c r="C1734" s="3" t="n">
        <v>226035</v>
      </c>
      <c r="D1734" s="3" t="s">
        <v>1294</v>
      </c>
      <c r="E1734" s="18" t="n">
        <v>45377</v>
      </c>
      <c r="F1734" s="3" t="s">
        <v>1262</v>
      </c>
      <c r="G1734" s="3" t="s">
        <v>5</v>
      </c>
      <c r="H1734" s="19"/>
      <c r="I1734" s="19"/>
      <c r="J1734" s="20"/>
      <c r="K1734" s="20"/>
      <c r="L1734" s="19"/>
      <c r="M1734" s="19"/>
      <c r="N1734" s="19"/>
      <c r="O1734" s="20"/>
      <c r="P1734" s="20"/>
    </row>
    <row r="1735" customFormat="false" ht="14.25" hidden="false" customHeight="true" outlineLevel="0" collapsed="false">
      <c r="A1735" s="3" t="s">
        <v>1259</v>
      </c>
      <c r="B1735" s="3" t="s">
        <v>1260</v>
      </c>
      <c r="C1735" s="3" t="n">
        <v>226035</v>
      </c>
      <c r="D1735" s="3" t="s">
        <v>1524</v>
      </c>
      <c r="E1735" s="18" t="n">
        <v>45387</v>
      </c>
      <c r="F1735" s="3" t="s">
        <v>1262</v>
      </c>
      <c r="G1735" s="3" t="s">
        <v>1275</v>
      </c>
      <c r="H1735" s="19"/>
      <c r="I1735" s="19"/>
      <c r="J1735" s="20"/>
      <c r="K1735" s="20"/>
      <c r="L1735" s="19"/>
      <c r="M1735" s="19"/>
      <c r="N1735" s="19"/>
      <c r="O1735" s="20"/>
      <c r="P1735" s="20"/>
    </row>
    <row r="1736" customFormat="false" ht="14.25" hidden="false" customHeight="true" outlineLevel="0" collapsed="false">
      <c r="A1736" s="3" t="s">
        <v>1259</v>
      </c>
      <c r="B1736" s="3" t="s">
        <v>1260</v>
      </c>
      <c r="C1736" s="3" t="n">
        <v>226035</v>
      </c>
      <c r="D1736" s="3" t="s">
        <v>1295</v>
      </c>
      <c r="E1736" s="18" t="n">
        <v>45393</v>
      </c>
      <c r="F1736" s="3" t="s">
        <v>1262</v>
      </c>
      <c r="G1736" s="3" t="s">
        <v>5</v>
      </c>
      <c r="H1736" s="19"/>
      <c r="I1736" s="19"/>
      <c r="J1736" s="20"/>
      <c r="K1736" s="20"/>
      <c r="L1736" s="19"/>
      <c r="M1736" s="19"/>
      <c r="N1736" s="19"/>
      <c r="O1736" s="20"/>
      <c r="P1736" s="20"/>
    </row>
    <row r="1737" customFormat="false" ht="14.25" hidden="false" customHeight="true" outlineLevel="0" collapsed="false">
      <c r="A1737" s="3" t="s">
        <v>1259</v>
      </c>
      <c r="B1737" s="3" t="s">
        <v>1260</v>
      </c>
      <c r="C1737" s="3" t="n">
        <v>226035</v>
      </c>
      <c r="D1737" s="3" t="s">
        <v>1297</v>
      </c>
      <c r="E1737" s="18" t="n">
        <v>45405</v>
      </c>
      <c r="F1737" s="3" t="s">
        <v>1262</v>
      </c>
      <c r="G1737" s="3" t="s">
        <v>5</v>
      </c>
      <c r="H1737" s="19"/>
      <c r="I1737" s="19"/>
      <c r="J1737" s="20"/>
      <c r="K1737" s="20"/>
      <c r="L1737" s="19"/>
      <c r="M1737" s="19"/>
      <c r="N1737" s="19"/>
      <c r="O1737" s="20"/>
      <c r="P1737" s="20"/>
    </row>
    <row r="1738" customFormat="false" ht="14.25" hidden="false" customHeight="true" outlineLevel="0" collapsed="false">
      <c r="A1738" s="3" t="s">
        <v>1259</v>
      </c>
      <c r="B1738" s="3" t="s">
        <v>1260</v>
      </c>
      <c r="C1738" s="3" t="n">
        <v>226035</v>
      </c>
      <c r="D1738" s="3" t="s">
        <v>1298</v>
      </c>
      <c r="E1738" s="18" t="n">
        <v>45419</v>
      </c>
      <c r="F1738" s="3" t="s">
        <v>1262</v>
      </c>
      <c r="G1738" s="3" t="s">
        <v>5</v>
      </c>
      <c r="H1738" s="19"/>
      <c r="I1738" s="19"/>
      <c r="J1738" s="20"/>
      <c r="K1738" s="20"/>
      <c r="L1738" s="19"/>
      <c r="M1738" s="19"/>
      <c r="N1738" s="19"/>
      <c r="O1738" s="20"/>
      <c r="P1738" s="20"/>
    </row>
    <row r="1739" customFormat="false" ht="14.25" hidden="false" customHeight="true" outlineLevel="0" collapsed="false">
      <c r="A1739" s="3" t="s">
        <v>1259</v>
      </c>
      <c r="B1739" s="3" t="s">
        <v>1260</v>
      </c>
      <c r="C1739" s="3" t="n">
        <v>226035</v>
      </c>
      <c r="D1739" s="3" t="s">
        <v>1299</v>
      </c>
      <c r="E1739" s="18" t="n">
        <v>45433</v>
      </c>
      <c r="F1739" s="3" t="s">
        <v>1262</v>
      </c>
      <c r="G1739" s="3" t="s">
        <v>5</v>
      </c>
      <c r="H1739" s="19"/>
      <c r="I1739" s="19"/>
      <c r="J1739" s="20"/>
      <c r="K1739" s="20"/>
      <c r="L1739" s="19"/>
      <c r="M1739" s="19"/>
      <c r="N1739" s="19"/>
      <c r="O1739" s="20"/>
      <c r="P1739" s="20"/>
    </row>
    <row r="1740" customFormat="false" ht="14.25" hidden="false" customHeight="true" outlineLevel="0" collapsed="false">
      <c r="A1740" s="3" t="s">
        <v>1259</v>
      </c>
      <c r="B1740" s="3" t="s">
        <v>1260</v>
      </c>
      <c r="C1740" s="3" t="n">
        <v>226035</v>
      </c>
      <c r="D1740" s="3" t="s">
        <v>1488</v>
      </c>
      <c r="F1740" s="3" t="s">
        <v>1262</v>
      </c>
      <c r="G1740" s="3" t="s">
        <v>5</v>
      </c>
      <c r="H1740" s="19"/>
      <c r="I1740" s="19"/>
      <c r="J1740" s="20"/>
      <c r="K1740" s="20"/>
      <c r="L1740" s="19"/>
      <c r="M1740" s="19"/>
      <c r="N1740" s="19"/>
      <c r="O1740" s="20"/>
      <c r="P1740" s="20"/>
    </row>
    <row r="1741" customFormat="false" ht="14.25" hidden="false" customHeight="true" outlineLevel="0" collapsed="false">
      <c r="A1741" s="3" t="s">
        <v>1259</v>
      </c>
      <c r="B1741" s="3" t="s">
        <v>1260</v>
      </c>
      <c r="C1741" s="3" t="n">
        <v>226035</v>
      </c>
      <c r="D1741" s="3" t="s">
        <v>1489</v>
      </c>
      <c r="F1741" s="3" t="s">
        <v>1262</v>
      </c>
      <c r="G1741" s="3" t="s">
        <v>5</v>
      </c>
      <c r="H1741" s="19"/>
      <c r="I1741" s="19"/>
      <c r="J1741" s="20"/>
      <c r="K1741" s="20"/>
      <c r="L1741" s="19"/>
      <c r="M1741" s="19"/>
      <c r="N1741" s="19"/>
      <c r="O1741" s="20"/>
      <c r="P1741" s="20"/>
    </row>
    <row r="1742" customFormat="false" ht="14.25" hidden="false" customHeight="true" outlineLevel="0" collapsed="false">
      <c r="A1742" s="3" t="s">
        <v>1259</v>
      </c>
      <c r="B1742" s="3" t="s">
        <v>1260</v>
      </c>
      <c r="C1742" s="3" t="n">
        <v>226035</v>
      </c>
      <c r="D1742" s="3" t="s">
        <v>1490</v>
      </c>
      <c r="F1742" s="3" t="s">
        <v>1262</v>
      </c>
      <c r="G1742" s="3" t="s">
        <v>5</v>
      </c>
      <c r="H1742" s="19"/>
      <c r="I1742" s="19"/>
      <c r="J1742" s="20"/>
      <c r="K1742" s="20"/>
      <c r="L1742" s="19"/>
      <c r="M1742" s="19"/>
      <c r="N1742" s="19"/>
      <c r="O1742" s="20"/>
      <c r="P1742" s="20"/>
    </row>
    <row r="1743" customFormat="false" ht="14.25" hidden="false" customHeight="true" outlineLevel="0" collapsed="false">
      <c r="A1743" s="3" t="s">
        <v>1259</v>
      </c>
      <c r="B1743" s="3" t="s">
        <v>1260</v>
      </c>
      <c r="C1743" s="3" t="n">
        <v>226037</v>
      </c>
      <c r="D1743" s="3" t="s">
        <v>1261</v>
      </c>
      <c r="E1743" s="18" t="n">
        <v>45103</v>
      </c>
      <c r="F1743" s="3" t="s">
        <v>1262</v>
      </c>
      <c r="G1743" s="3" t="s">
        <v>5</v>
      </c>
      <c r="H1743" s="19" t="n">
        <v>45103</v>
      </c>
      <c r="I1743" s="19" t="n">
        <v>44957</v>
      </c>
      <c r="J1743" s="20" t="n">
        <v>58</v>
      </c>
      <c r="K1743" s="20" t="s">
        <v>1313</v>
      </c>
      <c r="L1743" s="19" t="s">
        <v>12</v>
      </c>
      <c r="M1743" s="19"/>
      <c r="N1743" s="19"/>
      <c r="O1743" s="20"/>
      <c r="P1743" s="20"/>
    </row>
    <row r="1744" customFormat="false" ht="14.25" hidden="false" customHeight="true" outlineLevel="0" collapsed="false">
      <c r="A1744" s="3" t="s">
        <v>1259</v>
      </c>
      <c r="B1744" s="3" t="s">
        <v>1260</v>
      </c>
      <c r="C1744" s="3" t="n">
        <v>226037</v>
      </c>
      <c r="D1744" s="3" t="s">
        <v>1264</v>
      </c>
      <c r="E1744" s="18" t="n">
        <v>45112</v>
      </c>
      <c r="F1744" s="3" t="s">
        <v>1262</v>
      </c>
      <c r="G1744" s="3" t="s">
        <v>5</v>
      </c>
      <c r="H1744" s="19"/>
      <c r="I1744" s="19"/>
      <c r="J1744" s="20"/>
      <c r="K1744" s="20"/>
      <c r="L1744" s="19"/>
      <c r="M1744" s="19"/>
      <c r="N1744" s="19"/>
      <c r="O1744" s="20"/>
      <c r="P1744" s="20"/>
    </row>
    <row r="1745" customFormat="false" ht="14.25" hidden="false" customHeight="true" outlineLevel="0" collapsed="false">
      <c r="A1745" s="3" t="s">
        <v>1259</v>
      </c>
      <c r="B1745" s="3" t="s">
        <v>1260</v>
      </c>
      <c r="C1745" s="3" t="n">
        <v>226037</v>
      </c>
      <c r="D1745" s="3" t="s">
        <v>1265</v>
      </c>
      <c r="E1745" s="18" t="n">
        <v>45114</v>
      </c>
      <c r="F1745" s="3" t="s">
        <v>1262</v>
      </c>
      <c r="G1745" s="3" t="s">
        <v>5</v>
      </c>
      <c r="H1745" s="19"/>
      <c r="I1745" s="19"/>
      <c r="J1745" s="20"/>
      <c r="K1745" s="20"/>
      <c r="L1745" s="19"/>
      <c r="M1745" s="19"/>
      <c r="N1745" s="19"/>
      <c r="O1745" s="20"/>
      <c r="P1745" s="20"/>
    </row>
    <row r="1746" customFormat="false" ht="14.25" hidden="false" customHeight="true" outlineLevel="0" collapsed="false">
      <c r="A1746" s="3" t="s">
        <v>1259</v>
      </c>
      <c r="B1746" s="3" t="s">
        <v>1260</v>
      </c>
      <c r="C1746" s="3" t="n">
        <v>226037</v>
      </c>
      <c r="D1746" s="3" t="s">
        <v>1266</v>
      </c>
      <c r="E1746" s="18" t="n">
        <v>45119</v>
      </c>
      <c r="F1746" s="3" t="s">
        <v>1262</v>
      </c>
      <c r="G1746" s="3" t="s">
        <v>5</v>
      </c>
      <c r="H1746" s="19"/>
      <c r="I1746" s="19"/>
      <c r="J1746" s="20"/>
      <c r="K1746" s="20"/>
      <c r="L1746" s="19"/>
      <c r="M1746" s="19"/>
      <c r="N1746" s="19"/>
      <c r="O1746" s="20"/>
      <c r="P1746" s="20"/>
    </row>
    <row r="1747" customFormat="false" ht="14.25" hidden="false" customHeight="true" outlineLevel="0" collapsed="false">
      <c r="A1747" s="3" t="s">
        <v>1259</v>
      </c>
      <c r="B1747" s="3" t="s">
        <v>1260</v>
      </c>
      <c r="C1747" s="3" t="n">
        <v>226037</v>
      </c>
      <c r="D1747" s="3" t="s">
        <v>1269</v>
      </c>
      <c r="E1747" s="18" t="n">
        <v>45126</v>
      </c>
      <c r="F1747" s="3" t="s">
        <v>1262</v>
      </c>
      <c r="G1747" s="3" t="s">
        <v>5</v>
      </c>
      <c r="H1747" s="19"/>
      <c r="I1747" s="19"/>
      <c r="J1747" s="20"/>
      <c r="K1747" s="20"/>
      <c r="L1747" s="19"/>
      <c r="M1747" s="19"/>
      <c r="N1747" s="19"/>
      <c r="O1747" s="20"/>
      <c r="P1747" s="20"/>
    </row>
    <row r="1748" customFormat="false" ht="14.25" hidden="false" customHeight="true" outlineLevel="0" collapsed="false">
      <c r="A1748" s="3" t="s">
        <v>1259</v>
      </c>
      <c r="B1748" s="3" t="s">
        <v>1260</v>
      </c>
      <c r="C1748" s="3" t="n">
        <v>226037</v>
      </c>
      <c r="D1748" s="3" t="s">
        <v>1270</v>
      </c>
      <c r="E1748" s="18" t="n">
        <v>45133</v>
      </c>
      <c r="F1748" s="3" t="s">
        <v>1262</v>
      </c>
      <c r="G1748" s="3" t="s">
        <v>5</v>
      </c>
      <c r="H1748" s="19"/>
      <c r="I1748" s="19"/>
      <c r="J1748" s="20"/>
      <c r="K1748" s="20"/>
      <c r="L1748" s="19"/>
      <c r="M1748" s="19"/>
      <c r="N1748" s="19"/>
      <c r="O1748" s="20"/>
      <c r="P1748" s="20"/>
    </row>
    <row r="1749" customFormat="false" ht="14.25" hidden="false" customHeight="true" outlineLevel="0" collapsed="false">
      <c r="A1749" s="3" t="s">
        <v>1259</v>
      </c>
      <c r="B1749" s="3" t="s">
        <v>1260</v>
      </c>
      <c r="C1749" s="3" t="n">
        <v>226037</v>
      </c>
      <c r="D1749" s="3" t="s">
        <v>1525</v>
      </c>
      <c r="E1749" s="18" t="n">
        <v>45138</v>
      </c>
      <c r="F1749" s="3" t="s">
        <v>1262</v>
      </c>
      <c r="G1749" s="3" t="s">
        <v>1268</v>
      </c>
      <c r="H1749" s="19"/>
      <c r="I1749" s="19"/>
      <c r="J1749" s="20"/>
      <c r="K1749" s="20"/>
      <c r="L1749" s="19"/>
      <c r="M1749" s="19"/>
      <c r="N1749" s="19"/>
      <c r="O1749" s="20"/>
      <c r="P1749" s="20"/>
    </row>
    <row r="1750" customFormat="false" ht="14.25" hidden="false" customHeight="true" outlineLevel="0" collapsed="false">
      <c r="A1750" s="3" t="s">
        <v>1259</v>
      </c>
      <c r="B1750" s="3" t="s">
        <v>1260</v>
      </c>
      <c r="C1750" s="3" t="n">
        <v>226037</v>
      </c>
      <c r="D1750" s="3" t="s">
        <v>1271</v>
      </c>
      <c r="E1750" s="18" t="n">
        <v>45140</v>
      </c>
      <c r="F1750" s="3" t="s">
        <v>1262</v>
      </c>
      <c r="G1750" s="3" t="s">
        <v>5</v>
      </c>
      <c r="H1750" s="19"/>
      <c r="I1750" s="19"/>
      <c r="J1750" s="20"/>
      <c r="K1750" s="20"/>
      <c r="L1750" s="19"/>
      <c r="M1750" s="19"/>
      <c r="N1750" s="19"/>
      <c r="O1750" s="20"/>
      <c r="P1750" s="20"/>
    </row>
    <row r="1751" customFormat="false" ht="14.25" hidden="false" customHeight="true" outlineLevel="0" collapsed="false">
      <c r="A1751" s="3" t="s">
        <v>1259</v>
      </c>
      <c r="B1751" s="3" t="s">
        <v>1260</v>
      </c>
      <c r="C1751" s="3" t="n">
        <v>226037</v>
      </c>
      <c r="D1751" s="3" t="s">
        <v>1272</v>
      </c>
      <c r="E1751" s="18" t="n">
        <v>45142</v>
      </c>
      <c r="F1751" s="3" t="s">
        <v>1262</v>
      </c>
      <c r="G1751" s="3" t="s">
        <v>5</v>
      </c>
      <c r="H1751" s="19"/>
      <c r="I1751" s="19"/>
      <c r="J1751" s="20"/>
      <c r="K1751" s="20"/>
      <c r="L1751" s="19"/>
      <c r="M1751" s="19"/>
      <c r="N1751" s="19"/>
      <c r="O1751" s="20"/>
      <c r="P1751" s="20"/>
    </row>
    <row r="1752" customFormat="false" ht="14.25" hidden="false" customHeight="true" outlineLevel="0" collapsed="false">
      <c r="A1752" s="3" t="s">
        <v>1259</v>
      </c>
      <c r="B1752" s="3" t="s">
        <v>1260</v>
      </c>
      <c r="C1752" s="3" t="n">
        <v>226037</v>
      </c>
      <c r="D1752" s="3" t="s">
        <v>1273</v>
      </c>
      <c r="E1752" s="18" t="n">
        <v>45154</v>
      </c>
      <c r="F1752" s="3" t="s">
        <v>1262</v>
      </c>
      <c r="G1752" s="3" t="s">
        <v>5</v>
      </c>
      <c r="H1752" s="19"/>
      <c r="I1752" s="19"/>
      <c r="J1752" s="20"/>
      <c r="K1752" s="20"/>
      <c r="L1752" s="19"/>
      <c r="M1752" s="19"/>
      <c r="N1752" s="19"/>
      <c r="O1752" s="20"/>
      <c r="P1752" s="20"/>
    </row>
    <row r="1753" customFormat="false" ht="14.25" hidden="false" customHeight="true" outlineLevel="0" collapsed="false">
      <c r="A1753" s="3" t="s">
        <v>1259</v>
      </c>
      <c r="B1753" s="3" t="s">
        <v>1260</v>
      </c>
      <c r="C1753" s="3" t="n">
        <v>226037</v>
      </c>
      <c r="D1753" s="3" t="s">
        <v>1276</v>
      </c>
      <c r="E1753" s="18" t="n">
        <v>45168</v>
      </c>
      <c r="F1753" s="3" t="s">
        <v>1262</v>
      </c>
      <c r="G1753" s="3" t="s">
        <v>5</v>
      </c>
      <c r="H1753" s="19"/>
      <c r="I1753" s="19"/>
      <c r="J1753" s="20"/>
      <c r="K1753" s="20"/>
      <c r="L1753" s="19"/>
      <c r="M1753" s="19"/>
      <c r="N1753" s="19"/>
      <c r="O1753" s="20"/>
      <c r="P1753" s="20"/>
    </row>
    <row r="1754" customFormat="false" ht="14.25" hidden="false" customHeight="true" outlineLevel="0" collapsed="false">
      <c r="A1754" s="3" t="s">
        <v>1259</v>
      </c>
      <c r="B1754" s="3" t="s">
        <v>1260</v>
      </c>
      <c r="C1754" s="3" t="n">
        <v>226037</v>
      </c>
      <c r="D1754" s="3" t="s">
        <v>1466</v>
      </c>
      <c r="E1754" s="18" t="n">
        <v>45168</v>
      </c>
      <c r="F1754" s="3" t="s">
        <v>1262</v>
      </c>
      <c r="G1754" s="3" t="s">
        <v>1275</v>
      </c>
      <c r="H1754" s="19"/>
      <c r="I1754" s="19"/>
      <c r="J1754" s="20"/>
      <c r="K1754" s="20"/>
      <c r="L1754" s="19"/>
      <c r="M1754" s="19"/>
      <c r="N1754" s="19"/>
      <c r="O1754" s="20"/>
      <c r="P1754" s="20"/>
    </row>
    <row r="1755" customFormat="false" ht="14.25" hidden="false" customHeight="true" outlineLevel="0" collapsed="false">
      <c r="A1755" s="3" t="s">
        <v>1259</v>
      </c>
      <c r="B1755" s="3" t="s">
        <v>1260</v>
      </c>
      <c r="C1755" s="3" t="n">
        <v>226037</v>
      </c>
      <c r="D1755" s="3" t="s">
        <v>1277</v>
      </c>
      <c r="E1755" s="18" t="n">
        <v>45182</v>
      </c>
      <c r="F1755" s="3" t="s">
        <v>1262</v>
      </c>
      <c r="G1755" s="3" t="s">
        <v>5</v>
      </c>
      <c r="H1755" s="19"/>
      <c r="I1755" s="19"/>
      <c r="J1755" s="20"/>
      <c r="K1755" s="20"/>
      <c r="L1755" s="19"/>
      <c r="M1755" s="19"/>
      <c r="N1755" s="19"/>
      <c r="O1755" s="20"/>
      <c r="P1755" s="20"/>
    </row>
    <row r="1756" customFormat="false" ht="14.25" hidden="false" customHeight="true" outlineLevel="0" collapsed="false">
      <c r="A1756" s="3" t="s">
        <v>1259</v>
      </c>
      <c r="B1756" s="3" t="s">
        <v>1260</v>
      </c>
      <c r="C1756" s="3" t="n">
        <v>226037</v>
      </c>
      <c r="D1756" s="3" t="s">
        <v>1278</v>
      </c>
      <c r="E1756" s="18" t="n">
        <v>45194</v>
      </c>
      <c r="F1756" s="3" t="s">
        <v>1262</v>
      </c>
      <c r="G1756" s="3" t="s">
        <v>5</v>
      </c>
      <c r="H1756" s="19"/>
      <c r="I1756" s="19"/>
      <c r="J1756" s="20"/>
      <c r="K1756" s="20"/>
      <c r="L1756" s="19"/>
      <c r="M1756" s="19"/>
      <c r="N1756" s="19"/>
      <c r="O1756" s="20"/>
      <c r="P1756" s="20"/>
    </row>
    <row r="1757" customFormat="false" ht="14.25" hidden="false" customHeight="true" outlineLevel="0" collapsed="false">
      <c r="A1757" s="3" t="s">
        <v>1259</v>
      </c>
      <c r="B1757" s="3" t="s">
        <v>1260</v>
      </c>
      <c r="C1757" s="3" t="n">
        <v>226037</v>
      </c>
      <c r="D1757" s="3" t="s">
        <v>1488</v>
      </c>
      <c r="E1757" s="18" t="n">
        <v>45196</v>
      </c>
      <c r="F1757" s="3" t="s">
        <v>1262</v>
      </c>
      <c r="G1757" s="3" t="s">
        <v>5</v>
      </c>
      <c r="H1757" s="19"/>
      <c r="I1757" s="19"/>
      <c r="J1757" s="20"/>
      <c r="K1757" s="20"/>
      <c r="L1757" s="19"/>
      <c r="M1757" s="19"/>
      <c r="N1757" s="19"/>
      <c r="O1757" s="20"/>
      <c r="P1757" s="20"/>
    </row>
    <row r="1758" customFormat="false" ht="14.25" hidden="false" customHeight="true" outlineLevel="0" collapsed="false">
      <c r="A1758" s="3" t="s">
        <v>1259</v>
      </c>
      <c r="B1758" s="3" t="s">
        <v>1260</v>
      </c>
      <c r="C1758" s="3" t="n">
        <v>226037</v>
      </c>
      <c r="D1758" s="3" t="s">
        <v>1279</v>
      </c>
      <c r="E1758" s="18" t="n">
        <v>45210</v>
      </c>
      <c r="F1758" s="3" t="s">
        <v>1262</v>
      </c>
      <c r="G1758" s="3" t="s">
        <v>5</v>
      </c>
      <c r="H1758" s="19"/>
      <c r="I1758" s="19"/>
      <c r="J1758" s="20"/>
      <c r="K1758" s="20"/>
      <c r="L1758" s="19"/>
      <c r="M1758" s="19"/>
      <c r="N1758" s="19"/>
      <c r="O1758" s="20"/>
      <c r="P1758" s="20"/>
    </row>
    <row r="1759" customFormat="false" ht="14.25" hidden="false" customHeight="true" outlineLevel="0" collapsed="false">
      <c r="A1759" s="3" t="s">
        <v>1259</v>
      </c>
      <c r="B1759" s="3" t="s">
        <v>1260</v>
      </c>
      <c r="C1759" s="3" t="n">
        <v>226037</v>
      </c>
      <c r="D1759" s="3" t="s">
        <v>1281</v>
      </c>
      <c r="E1759" s="18" t="n">
        <v>45222</v>
      </c>
      <c r="F1759" s="3" t="s">
        <v>1262</v>
      </c>
      <c r="G1759" s="3" t="s">
        <v>5</v>
      </c>
      <c r="H1759" s="19"/>
      <c r="I1759" s="19"/>
      <c r="J1759" s="20"/>
      <c r="K1759" s="20"/>
      <c r="L1759" s="19"/>
      <c r="M1759" s="19"/>
      <c r="N1759" s="19"/>
      <c r="O1759" s="20"/>
      <c r="P1759" s="20"/>
    </row>
    <row r="1760" customFormat="false" ht="14.25" hidden="false" customHeight="true" outlineLevel="0" collapsed="false">
      <c r="A1760" s="3" t="s">
        <v>1259</v>
      </c>
      <c r="B1760" s="3" t="s">
        <v>1260</v>
      </c>
      <c r="C1760" s="3" t="n">
        <v>226037</v>
      </c>
      <c r="D1760" s="3" t="s">
        <v>1350</v>
      </c>
      <c r="E1760" s="18" t="n">
        <v>45222</v>
      </c>
      <c r="F1760" s="3" t="s">
        <v>1262</v>
      </c>
      <c r="G1760" s="3" t="s">
        <v>1275</v>
      </c>
      <c r="H1760" s="19"/>
      <c r="I1760" s="19"/>
      <c r="J1760" s="20"/>
      <c r="K1760" s="20"/>
      <c r="L1760" s="19"/>
      <c r="M1760" s="19"/>
      <c r="N1760" s="19"/>
      <c r="O1760" s="20"/>
      <c r="P1760" s="20"/>
    </row>
    <row r="1761" customFormat="false" ht="14.25" hidden="false" customHeight="true" outlineLevel="0" collapsed="false">
      <c r="A1761" s="3" t="s">
        <v>1259</v>
      </c>
      <c r="B1761" s="3" t="s">
        <v>1260</v>
      </c>
      <c r="C1761" s="3" t="n">
        <v>226037</v>
      </c>
      <c r="D1761" s="3" t="s">
        <v>1282</v>
      </c>
      <c r="E1761" s="18" t="n">
        <v>45236</v>
      </c>
      <c r="F1761" s="3" t="s">
        <v>1262</v>
      </c>
      <c r="G1761" s="3" t="s">
        <v>5</v>
      </c>
      <c r="H1761" s="19"/>
      <c r="I1761" s="19"/>
      <c r="J1761" s="20"/>
      <c r="K1761" s="20"/>
      <c r="L1761" s="19"/>
      <c r="M1761" s="19"/>
      <c r="N1761" s="19"/>
      <c r="O1761" s="20"/>
      <c r="P1761" s="20"/>
    </row>
    <row r="1762" customFormat="false" ht="14.25" hidden="false" customHeight="true" outlineLevel="0" collapsed="false">
      <c r="A1762" s="3" t="s">
        <v>1259</v>
      </c>
      <c r="B1762" s="3" t="s">
        <v>1260</v>
      </c>
      <c r="C1762" s="3" t="n">
        <v>226037</v>
      </c>
      <c r="D1762" s="3" t="s">
        <v>1283</v>
      </c>
      <c r="E1762" s="18" t="n">
        <v>45250</v>
      </c>
      <c r="F1762" s="3" t="s">
        <v>1262</v>
      </c>
      <c r="G1762" s="3" t="s">
        <v>5</v>
      </c>
      <c r="H1762" s="19"/>
      <c r="I1762" s="19"/>
      <c r="J1762" s="20"/>
      <c r="K1762" s="20"/>
      <c r="L1762" s="19"/>
      <c r="M1762" s="19"/>
      <c r="N1762" s="19"/>
      <c r="O1762" s="20"/>
      <c r="P1762" s="20"/>
    </row>
    <row r="1763" customFormat="false" ht="14.25" hidden="false" customHeight="true" outlineLevel="0" collapsed="false">
      <c r="A1763" s="3" t="s">
        <v>1259</v>
      </c>
      <c r="B1763" s="3" t="s">
        <v>1260</v>
      </c>
      <c r="C1763" s="3" t="n">
        <v>226037</v>
      </c>
      <c r="D1763" s="3" t="s">
        <v>1284</v>
      </c>
      <c r="E1763" s="18" t="n">
        <v>45264</v>
      </c>
      <c r="F1763" s="3" t="s">
        <v>1262</v>
      </c>
      <c r="G1763" s="3" t="s">
        <v>5</v>
      </c>
      <c r="H1763" s="19"/>
      <c r="I1763" s="19"/>
      <c r="J1763" s="20"/>
      <c r="K1763" s="20"/>
      <c r="L1763" s="19"/>
      <c r="M1763" s="19"/>
      <c r="N1763" s="19"/>
      <c r="O1763" s="20"/>
      <c r="P1763" s="20"/>
    </row>
    <row r="1764" customFormat="false" ht="14.25" hidden="false" customHeight="true" outlineLevel="0" collapsed="false">
      <c r="A1764" s="3" t="s">
        <v>1259</v>
      </c>
      <c r="B1764" s="3" t="s">
        <v>1260</v>
      </c>
      <c r="C1764" s="3" t="n">
        <v>226037</v>
      </c>
      <c r="D1764" s="3" t="s">
        <v>1286</v>
      </c>
      <c r="E1764" s="18" t="n">
        <v>45278</v>
      </c>
      <c r="F1764" s="3" t="s">
        <v>1262</v>
      </c>
      <c r="G1764" s="3" t="s">
        <v>5</v>
      </c>
      <c r="H1764" s="19"/>
      <c r="I1764" s="19"/>
      <c r="J1764" s="20"/>
      <c r="K1764" s="20"/>
      <c r="L1764" s="19"/>
      <c r="M1764" s="19"/>
      <c r="N1764" s="19"/>
      <c r="O1764" s="20"/>
      <c r="P1764" s="20"/>
    </row>
    <row r="1765" customFormat="false" ht="14.25" hidden="false" customHeight="true" outlineLevel="0" collapsed="false">
      <c r="A1765" s="3" t="s">
        <v>1259</v>
      </c>
      <c r="B1765" s="3" t="s">
        <v>1260</v>
      </c>
      <c r="C1765" s="3" t="n">
        <v>226037</v>
      </c>
      <c r="D1765" s="3" t="s">
        <v>1351</v>
      </c>
      <c r="E1765" s="18" t="n">
        <v>45278</v>
      </c>
      <c r="F1765" s="3" t="s">
        <v>1262</v>
      </c>
      <c r="G1765" s="3" t="s">
        <v>1275</v>
      </c>
      <c r="H1765" s="19"/>
      <c r="I1765" s="19"/>
      <c r="J1765" s="20"/>
      <c r="K1765" s="20"/>
      <c r="L1765" s="19"/>
      <c r="M1765" s="19"/>
      <c r="N1765" s="19"/>
      <c r="O1765" s="20"/>
      <c r="P1765" s="20"/>
    </row>
    <row r="1766" customFormat="false" ht="14.25" hidden="false" customHeight="true" outlineLevel="0" collapsed="false">
      <c r="A1766" s="3" t="s">
        <v>1259</v>
      </c>
      <c r="B1766" s="3" t="s">
        <v>1260</v>
      </c>
      <c r="C1766" s="3" t="n">
        <v>226037</v>
      </c>
      <c r="D1766" s="3" t="s">
        <v>1287</v>
      </c>
      <c r="E1766" s="18" t="n">
        <v>45294</v>
      </c>
      <c r="F1766" s="3" t="s">
        <v>1262</v>
      </c>
      <c r="G1766" s="3" t="s">
        <v>5</v>
      </c>
      <c r="H1766" s="19"/>
      <c r="I1766" s="19"/>
      <c r="J1766" s="20"/>
      <c r="K1766" s="20"/>
      <c r="L1766" s="19"/>
      <c r="M1766" s="19"/>
      <c r="N1766" s="19"/>
      <c r="O1766" s="20"/>
      <c r="P1766" s="20"/>
    </row>
    <row r="1767" customFormat="false" ht="14.25" hidden="false" customHeight="true" outlineLevel="0" collapsed="false">
      <c r="A1767" s="3" t="s">
        <v>1259</v>
      </c>
      <c r="B1767" s="3" t="s">
        <v>1260</v>
      </c>
      <c r="C1767" s="3" t="n">
        <v>226037</v>
      </c>
      <c r="D1767" s="3" t="s">
        <v>1288</v>
      </c>
      <c r="E1767" s="18" t="n">
        <v>45306</v>
      </c>
      <c r="F1767" s="3" t="s">
        <v>1262</v>
      </c>
      <c r="G1767" s="3" t="s">
        <v>5</v>
      </c>
      <c r="H1767" s="19"/>
      <c r="I1767" s="19"/>
      <c r="J1767" s="20"/>
      <c r="K1767" s="20"/>
      <c r="L1767" s="19"/>
      <c r="M1767" s="19"/>
      <c r="N1767" s="19"/>
      <c r="O1767" s="20"/>
      <c r="P1767" s="20"/>
    </row>
    <row r="1768" customFormat="false" ht="14.25" hidden="false" customHeight="true" outlineLevel="0" collapsed="false">
      <c r="A1768" s="3" t="s">
        <v>1259</v>
      </c>
      <c r="B1768" s="3" t="s">
        <v>1260</v>
      </c>
      <c r="C1768" s="3" t="n">
        <v>226037</v>
      </c>
      <c r="D1768" s="3" t="s">
        <v>1289</v>
      </c>
      <c r="E1768" s="18" t="n">
        <v>45320</v>
      </c>
      <c r="F1768" s="3" t="s">
        <v>1262</v>
      </c>
      <c r="G1768" s="3" t="s">
        <v>5</v>
      </c>
      <c r="H1768" s="19"/>
      <c r="I1768" s="19"/>
      <c r="J1768" s="20"/>
      <c r="K1768" s="20"/>
      <c r="L1768" s="19"/>
      <c r="M1768" s="19"/>
      <c r="N1768" s="19"/>
      <c r="O1768" s="20"/>
      <c r="P1768" s="20"/>
    </row>
    <row r="1769" customFormat="false" ht="14.25" hidden="false" customHeight="true" outlineLevel="0" collapsed="false">
      <c r="A1769" s="3" t="s">
        <v>1259</v>
      </c>
      <c r="B1769" s="3" t="s">
        <v>1260</v>
      </c>
      <c r="C1769" s="3" t="n">
        <v>226037</v>
      </c>
      <c r="D1769" s="3" t="s">
        <v>1290</v>
      </c>
      <c r="E1769" s="18" t="n">
        <v>45336</v>
      </c>
      <c r="F1769" s="3" t="s">
        <v>1262</v>
      </c>
      <c r="G1769" s="3" t="s">
        <v>5</v>
      </c>
      <c r="H1769" s="19"/>
      <c r="I1769" s="19"/>
      <c r="J1769" s="20"/>
      <c r="K1769" s="20"/>
      <c r="L1769" s="19"/>
      <c r="M1769" s="19"/>
      <c r="N1769" s="19"/>
      <c r="O1769" s="20"/>
      <c r="P1769" s="20"/>
    </row>
    <row r="1770" customFormat="false" ht="14.25" hidden="false" customHeight="true" outlineLevel="0" collapsed="false">
      <c r="A1770" s="3" t="s">
        <v>1259</v>
      </c>
      <c r="B1770" s="3" t="s">
        <v>1260</v>
      </c>
      <c r="C1770" s="3" t="n">
        <v>226037</v>
      </c>
      <c r="D1770" s="3" t="s">
        <v>1352</v>
      </c>
      <c r="E1770" s="18" t="n">
        <v>45336</v>
      </c>
      <c r="F1770" s="3" t="s">
        <v>1262</v>
      </c>
      <c r="G1770" s="3" t="s">
        <v>1275</v>
      </c>
      <c r="H1770" s="19"/>
      <c r="I1770" s="19"/>
      <c r="J1770" s="20"/>
      <c r="K1770" s="20"/>
      <c r="L1770" s="19"/>
      <c r="M1770" s="19"/>
      <c r="N1770" s="19"/>
      <c r="O1770" s="20"/>
      <c r="P1770" s="20"/>
    </row>
    <row r="1771" customFormat="false" ht="14.25" hidden="false" customHeight="true" outlineLevel="0" collapsed="false">
      <c r="A1771" s="3" t="s">
        <v>1259</v>
      </c>
      <c r="B1771" s="3" t="s">
        <v>1260</v>
      </c>
      <c r="C1771" s="3" t="n">
        <v>226037</v>
      </c>
      <c r="D1771" s="3" t="s">
        <v>1292</v>
      </c>
      <c r="E1771" s="18" t="n">
        <v>45351</v>
      </c>
      <c r="F1771" s="3" t="s">
        <v>1262</v>
      </c>
      <c r="G1771" s="3" t="s">
        <v>5</v>
      </c>
      <c r="H1771" s="19"/>
      <c r="I1771" s="19"/>
      <c r="J1771" s="20"/>
      <c r="K1771" s="20"/>
      <c r="L1771" s="19"/>
      <c r="M1771" s="19"/>
      <c r="N1771" s="19"/>
      <c r="O1771" s="20"/>
      <c r="P1771" s="20"/>
    </row>
    <row r="1772" customFormat="false" ht="14.25" hidden="false" customHeight="true" outlineLevel="0" collapsed="false">
      <c r="A1772" s="3" t="s">
        <v>1259</v>
      </c>
      <c r="B1772" s="3" t="s">
        <v>1260</v>
      </c>
      <c r="C1772" s="3" t="n">
        <v>226037</v>
      </c>
      <c r="D1772" s="3" t="s">
        <v>1293</v>
      </c>
      <c r="E1772" s="18" t="n">
        <v>45362</v>
      </c>
      <c r="F1772" s="3" t="s">
        <v>1262</v>
      </c>
      <c r="G1772" s="3" t="s">
        <v>5</v>
      </c>
      <c r="H1772" s="19"/>
      <c r="I1772" s="19"/>
      <c r="J1772" s="20"/>
      <c r="K1772" s="20"/>
      <c r="L1772" s="19"/>
      <c r="M1772" s="19"/>
      <c r="N1772" s="19"/>
      <c r="O1772" s="20"/>
      <c r="P1772" s="20"/>
    </row>
    <row r="1773" customFormat="false" ht="14.25" hidden="false" customHeight="true" outlineLevel="0" collapsed="false">
      <c r="A1773" s="3" t="s">
        <v>1259</v>
      </c>
      <c r="B1773" s="3" t="s">
        <v>1260</v>
      </c>
      <c r="C1773" s="3" t="n">
        <v>226037</v>
      </c>
      <c r="D1773" s="3" t="s">
        <v>1294</v>
      </c>
      <c r="E1773" s="18" t="n">
        <v>45376</v>
      </c>
      <c r="F1773" s="3" t="s">
        <v>1262</v>
      </c>
      <c r="G1773" s="3" t="s">
        <v>5</v>
      </c>
      <c r="H1773" s="19"/>
      <c r="I1773" s="19"/>
      <c r="J1773" s="20"/>
      <c r="K1773" s="20"/>
      <c r="L1773" s="19"/>
      <c r="M1773" s="19"/>
      <c r="N1773" s="19"/>
      <c r="O1773" s="20"/>
      <c r="P1773" s="20"/>
    </row>
    <row r="1774" customFormat="false" ht="14.25" hidden="false" customHeight="true" outlineLevel="0" collapsed="false">
      <c r="A1774" s="3" t="s">
        <v>1259</v>
      </c>
      <c r="B1774" s="3" t="s">
        <v>1260</v>
      </c>
      <c r="C1774" s="3" t="n">
        <v>226037</v>
      </c>
      <c r="D1774" s="3" t="s">
        <v>1295</v>
      </c>
      <c r="E1774" s="18" t="n">
        <v>45393</v>
      </c>
      <c r="F1774" s="3" t="s">
        <v>1262</v>
      </c>
      <c r="G1774" s="3" t="s">
        <v>5</v>
      </c>
      <c r="H1774" s="19"/>
      <c r="I1774" s="19"/>
      <c r="J1774" s="20"/>
      <c r="K1774" s="20"/>
      <c r="L1774" s="19"/>
      <c r="M1774" s="19"/>
      <c r="N1774" s="19"/>
      <c r="O1774" s="20"/>
      <c r="P1774" s="20"/>
    </row>
    <row r="1775" customFormat="false" ht="14.25" hidden="false" customHeight="true" outlineLevel="0" collapsed="false">
      <c r="A1775" s="3" t="s">
        <v>1259</v>
      </c>
      <c r="B1775" s="3" t="s">
        <v>1260</v>
      </c>
      <c r="C1775" s="3" t="n">
        <v>226037</v>
      </c>
      <c r="D1775" s="3" t="s">
        <v>1452</v>
      </c>
      <c r="E1775" s="18" t="n">
        <v>45393</v>
      </c>
      <c r="F1775" s="3" t="s">
        <v>1262</v>
      </c>
      <c r="G1775" s="3" t="s">
        <v>1275</v>
      </c>
      <c r="H1775" s="19"/>
      <c r="I1775" s="19"/>
      <c r="J1775" s="20"/>
      <c r="K1775" s="20"/>
      <c r="L1775" s="19"/>
      <c r="M1775" s="19"/>
      <c r="N1775" s="19"/>
      <c r="O1775" s="20"/>
      <c r="P1775" s="20"/>
    </row>
    <row r="1776" customFormat="false" ht="14.25" hidden="false" customHeight="true" outlineLevel="0" collapsed="false">
      <c r="A1776" s="3" t="s">
        <v>1259</v>
      </c>
      <c r="B1776" s="3" t="s">
        <v>1260</v>
      </c>
      <c r="C1776" s="3" t="n">
        <v>226037</v>
      </c>
      <c r="D1776" s="3" t="s">
        <v>1297</v>
      </c>
      <c r="E1776" s="18" t="n">
        <v>45404</v>
      </c>
      <c r="F1776" s="3" t="s">
        <v>1262</v>
      </c>
      <c r="G1776" s="3" t="s">
        <v>5</v>
      </c>
      <c r="H1776" s="19"/>
      <c r="I1776" s="19"/>
      <c r="J1776" s="20"/>
      <c r="K1776" s="20"/>
      <c r="L1776" s="19"/>
      <c r="M1776" s="19"/>
      <c r="N1776" s="19"/>
      <c r="O1776" s="20"/>
      <c r="P1776" s="20"/>
    </row>
    <row r="1777" customFormat="false" ht="14.25" hidden="false" customHeight="true" outlineLevel="0" collapsed="false">
      <c r="A1777" s="3" t="s">
        <v>1259</v>
      </c>
      <c r="B1777" s="3" t="s">
        <v>1260</v>
      </c>
      <c r="C1777" s="3" t="n">
        <v>226037</v>
      </c>
      <c r="D1777" s="3" t="s">
        <v>1298</v>
      </c>
      <c r="E1777" s="18" t="n">
        <v>45421</v>
      </c>
      <c r="F1777" s="3" t="s">
        <v>1262</v>
      </c>
      <c r="G1777" s="3" t="s">
        <v>5</v>
      </c>
      <c r="H1777" s="19"/>
      <c r="I1777" s="19"/>
      <c r="J1777" s="20"/>
      <c r="K1777" s="20"/>
      <c r="L1777" s="19"/>
      <c r="M1777" s="19"/>
      <c r="N1777" s="19"/>
      <c r="O1777" s="20"/>
      <c r="P1777" s="20"/>
    </row>
    <row r="1778" customFormat="false" ht="14.25" hidden="false" customHeight="true" outlineLevel="0" collapsed="false">
      <c r="A1778" s="3" t="s">
        <v>1259</v>
      </c>
      <c r="B1778" s="3" t="s">
        <v>1260</v>
      </c>
      <c r="C1778" s="3" t="n">
        <v>226037</v>
      </c>
      <c r="D1778" s="3" t="s">
        <v>1489</v>
      </c>
      <c r="F1778" s="3" t="s">
        <v>1262</v>
      </c>
      <c r="G1778" s="3" t="s">
        <v>5</v>
      </c>
      <c r="H1778" s="19"/>
      <c r="I1778" s="19"/>
      <c r="J1778" s="20"/>
      <c r="K1778" s="20"/>
      <c r="L1778" s="19"/>
      <c r="M1778" s="19"/>
      <c r="N1778" s="19"/>
      <c r="O1778" s="20"/>
      <c r="P1778" s="20"/>
    </row>
    <row r="1779" customFormat="false" ht="14.25" hidden="false" customHeight="true" outlineLevel="0" collapsed="false">
      <c r="A1779" s="3" t="s">
        <v>1259</v>
      </c>
      <c r="B1779" s="3" t="s">
        <v>1260</v>
      </c>
      <c r="C1779" s="3" t="n">
        <v>226037</v>
      </c>
      <c r="D1779" s="3" t="s">
        <v>1490</v>
      </c>
      <c r="F1779" s="3" t="s">
        <v>1262</v>
      </c>
      <c r="G1779" s="3" t="s">
        <v>5</v>
      </c>
      <c r="H1779" s="19"/>
      <c r="I1779" s="19"/>
      <c r="J1779" s="20"/>
      <c r="K1779" s="20"/>
      <c r="L1779" s="19"/>
      <c r="M1779" s="19"/>
      <c r="N1779" s="19"/>
      <c r="O1779" s="20"/>
      <c r="P1779" s="20"/>
    </row>
    <row r="1780" customFormat="false" ht="14.25" hidden="false" customHeight="true" outlineLevel="0" collapsed="false">
      <c r="A1780" s="3" t="s">
        <v>1259</v>
      </c>
      <c r="B1780" s="3" t="s">
        <v>1260</v>
      </c>
      <c r="C1780" s="3" t="n">
        <v>226052</v>
      </c>
      <c r="D1780" s="3" t="s">
        <v>1261</v>
      </c>
      <c r="E1780" s="18" t="n">
        <v>45112</v>
      </c>
      <c r="F1780" s="3" t="s">
        <v>1262</v>
      </c>
      <c r="G1780" s="3" t="s">
        <v>5</v>
      </c>
      <c r="H1780" s="19" t="n">
        <v>45112</v>
      </c>
      <c r="I1780" s="19" t="n">
        <v>44957</v>
      </c>
      <c r="J1780" s="20" t="n">
        <v>67</v>
      </c>
      <c r="K1780" s="20" t="s">
        <v>1263</v>
      </c>
      <c r="L1780" s="19" t="s">
        <v>12</v>
      </c>
      <c r="M1780" s="19"/>
      <c r="N1780" s="19"/>
      <c r="O1780" s="20"/>
      <c r="P1780" s="20"/>
    </row>
    <row r="1781" customFormat="false" ht="14.25" hidden="false" customHeight="true" outlineLevel="0" collapsed="false">
      <c r="A1781" s="3" t="s">
        <v>1259</v>
      </c>
      <c r="B1781" s="3" t="s">
        <v>1260</v>
      </c>
      <c r="C1781" s="3" t="n">
        <v>226052</v>
      </c>
      <c r="D1781" s="3" t="s">
        <v>1264</v>
      </c>
      <c r="E1781" s="18" t="n">
        <v>45126</v>
      </c>
      <c r="F1781" s="3" t="s">
        <v>1262</v>
      </c>
      <c r="G1781" s="3" t="s">
        <v>5</v>
      </c>
      <c r="H1781" s="19"/>
      <c r="I1781" s="19"/>
      <c r="J1781" s="20"/>
      <c r="K1781" s="20"/>
      <c r="L1781" s="19"/>
      <c r="M1781" s="19"/>
      <c r="N1781" s="19"/>
      <c r="O1781" s="20"/>
      <c r="P1781" s="20"/>
    </row>
    <row r="1782" customFormat="false" ht="14.25" hidden="false" customHeight="true" outlineLevel="0" collapsed="false">
      <c r="A1782" s="3" t="s">
        <v>1259</v>
      </c>
      <c r="B1782" s="3" t="s">
        <v>1260</v>
      </c>
      <c r="C1782" s="3" t="n">
        <v>226052</v>
      </c>
      <c r="D1782" s="3" t="s">
        <v>1265</v>
      </c>
      <c r="E1782" s="18" t="n">
        <v>45128</v>
      </c>
      <c r="F1782" s="3" t="s">
        <v>1262</v>
      </c>
      <c r="G1782" s="3" t="s">
        <v>5</v>
      </c>
      <c r="H1782" s="19"/>
      <c r="I1782" s="19"/>
      <c r="J1782" s="20"/>
      <c r="K1782" s="20"/>
      <c r="L1782" s="19"/>
      <c r="M1782" s="19"/>
      <c r="N1782" s="19"/>
      <c r="O1782" s="20"/>
      <c r="P1782" s="20"/>
    </row>
    <row r="1783" customFormat="false" ht="14.25" hidden="false" customHeight="true" outlineLevel="0" collapsed="false">
      <c r="A1783" s="3" t="s">
        <v>1259</v>
      </c>
      <c r="B1783" s="3" t="s">
        <v>1260</v>
      </c>
      <c r="C1783" s="3" t="n">
        <v>226052</v>
      </c>
      <c r="D1783" s="3" t="s">
        <v>1266</v>
      </c>
      <c r="E1783" s="18" t="n">
        <v>45134</v>
      </c>
      <c r="F1783" s="3" t="s">
        <v>1262</v>
      </c>
      <c r="G1783" s="3" t="s">
        <v>5</v>
      </c>
      <c r="H1783" s="19"/>
      <c r="I1783" s="19"/>
      <c r="J1783" s="20"/>
      <c r="K1783" s="20"/>
      <c r="L1783" s="19"/>
      <c r="M1783" s="19"/>
      <c r="N1783" s="19"/>
      <c r="O1783" s="20"/>
      <c r="P1783" s="20"/>
    </row>
    <row r="1784" customFormat="false" ht="14.25" hidden="false" customHeight="true" outlineLevel="0" collapsed="false">
      <c r="A1784" s="3" t="s">
        <v>1259</v>
      </c>
      <c r="B1784" s="3" t="s">
        <v>1260</v>
      </c>
      <c r="C1784" s="3" t="n">
        <v>226052</v>
      </c>
      <c r="D1784" s="3" t="s">
        <v>1269</v>
      </c>
      <c r="E1784" s="18" t="n">
        <v>45141</v>
      </c>
      <c r="F1784" s="3" t="s">
        <v>1262</v>
      </c>
      <c r="G1784" s="3" t="s">
        <v>5</v>
      </c>
      <c r="H1784" s="19"/>
      <c r="I1784" s="19"/>
      <c r="J1784" s="20"/>
      <c r="K1784" s="20"/>
      <c r="L1784" s="19"/>
      <c r="M1784" s="19"/>
      <c r="N1784" s="19"/>
      <c r="O1784" s="20"/>
      <c r="P1784" s="20"/>
    </row>
    <row r="1785" customFormat="false" ht="14.25" hidden="false" customHeight="true" outlineLevel="0" collapsed="false">
      <c r="A1785" s="3" t="s">
        <v>1259</v>
      </c>
      <c r="B1785" s="3" t="s">
        <v>1260</v>
      </c>
      <c r="C1785" s="3" t="n">
        <v>226052</v>
      </c>
      <c r="D1785" s="3" t="s">
        <v>1270</v>
      </c>
      <c r="E1785" s="18" t="n">
        <v>45148</v>
      </c>
      <c r="F1785" s="3" t="s">
        <v>1262</v>
      </c>
      <c r="G1785" s="3" t="s">
        <v>5</v>
      </c>
      <c r="H1785" s="19"/>
      <c r="I1785" s="19"/>
      <c r="J1785" s="20"/>
      <c r="K1785" s="20"/>
      <c r="L1785" s="19"/>
      <c r="M1785" s="19"/>
      <c r="N1785" s="19"/>
      <c r="O1785" s="20"/>
      <c r="P1785" s="20"/>
    </row>
    <row r="1786" customFormat="false" ht="14.25" hidden="false" customHeight="true" outlineLevel="0" collapsed="false">
      <c r="A1786" s="3" t="s">
        <v>1259</v>
      </c>
      <c r="B1786" s="3" t="s">
        <v>1260</v>
      </c>
      <c r="C1786" s="3" t="n">
        <v>226052</v>
      </c>
      <c r="D1786" s="3" t="s">
        <v>1271</v>
      </c>
      <c r="E1786" s="18" t="n">
        <v>45154</v>
      </c>
      <c r="F1786" s="3" t="s">
        <v>1262</v>
      </c>
      <c r="G1786" s="3" t="s">
        <v>5</v>
      </c>
      <c r="H1786" s="19"/>
      <c r="I1786" s="19"/>
      <c r="J1786" s="20"/>
      <c r="K1786" s="20"/>
      <c r="L1786" s="19"/>
      <c r="M1786" s="19"/>
      <c r="N1786" s="19"/>
      <c r="O1786" s="20"/>
      <c r="P1786" s="20"/>
    </row>
    <row r="1787" customFormat="false" ht="14.25" hidden="false" customHeight="true" outlineLevel="0" collapsed="false">
      <c r="A1787" s="3" t="s">
        <v>1259</v>
      </c>
      <c r="B1787" s="3" t="s">
        <v>1260</v>
      </c>
      <c r="C1787" s="3" t="n">
        <v>226052</v>
      </c>
      <c r="D1787" s="3" t="s">
        <v>1272</v>
      </c>
      <c r="E1787" s="18" t="n">
        <v>45156</v>
      </c>
      <c r="F1787" s="3" t="s">
        <v>1262</v>
      </c>
      <c r="G1787" s="3" t="s">
        <v>5</v>
      </c>
      <c r="H1787" s="19"/>
      <c r="I1787" s="19"/>
      <c r="J1787" s="20"/>
      <c r="K1787" s="20"/>
      <c r="L1787" s="19"/>
      <c r="M1787" s="19"/>
      <c r="N1787" s="19"/>
      <c r="O1787" s="20"/>
      <c r="P1787" s="20"/>
    </row>
    <row r="1788" customFormat="false" ht="14.25" hidden="false" customHeight="true" outlineLevel="0" collapsed="false">
      <c r="A1788" s="3" t="s">
        <v>1259</v>
      </c>
      <c r="B1788" s="3" t="s">
        <v>1260</v>
      </c>
      <c r="C1788" s="3" t="n">
        <v>226052</v>
      </c>
      <c r="D1788" s="3" t="s">
        <v>1273</v>
      </c>
      <c r="E1788" s="18" t="n">
        <v>45169</v>
      </c>
      <c r="F1788" s="3" t="s">
        <v>1262</v>
      </c>
      <c r="G1788" s="3" t="s">
        <v>5</v>
      </c>
      <c r="H1788" s="19"/>
      <c r="I1788" s="19"/>
      <c r="J1788" s="20"/>
      <c r="K1788" s="20"/>
      <c r="L1788" s="19"/>
      <c r="M1788" s="19"/>
      <c r="N1788" s="19"/>
      <c r="O1788" s="20"/>
      <c r="P1788" s="20"/>
    </row>
    <row r="1789" customFormat="false" ht="14.25" hidden="false" customHeight="true" outlineLevel="0" collapsed="false">
      <c r="A1789" s="3" t="s">
        <v>1259</v>
      </c>
      <c r="B1789" s="3" t="s">
        <v>1260</v>
      </c>
      <c r="C1789" s="3" t="n">
        <v>226052</v>
      </c>
      <c r="D1789" s="3" t="s">
        <v>1276</v>
      </c>
      <c r="E1789" s="18" t="n">
        <v>45182</v>
      </c>
      <c r="F1789" s="3" t="s">
        <v>1262</v>
      </c>
      <c r="G1789" s="3" t="s">
        <v>5</v>
      </c>
      <c r="H1789" s="19"/>
      <c r="I1789" s="19"/>
      <c r="J1789" s="20"/>
      <c r="K1789" s="20"/>
      <c r="L1789" s="19"/>
      <c r="M1789" s="19"/>
      <c r="N1789" s="19"/>
      <c r="O1789" s="20"/>
      <c r="P1789" s="20"/>
    </row>
    <row r="1790" customFormat="false" ht="14.25" hidden="false" customHeight="true" outlineLevel="0" collapsed="false">
      <c r="A1790" s="3" t="s">
        <v>1259</v>
      </c>
      <c r="B1790" s="3" t="s">
        <v>1260</v>
      </c>
      <c r="C1790" s="3" t="n">
        <v>226052</v>
      </c>
      <c r="D1790" s="3" t="s">
        <v>1526</v>
      </c>
      <c r="E1790" s="18" t="n">
        <v>45184</v>
      </c>
      <c r="F1790" s="3" t="s">
        <v>1262</v>
      </c>
      <c r="G1790" s="3" t="s">
        <v>1275</v>
      </c>
      <c r="H1790" s="19"/>
      <c r="I1790" s="19"/>
      <c r="J1790" s="20"/>
      <c r="K1790" s="20"/>
      <c r="L1790" s="19"/>
      <c r="M1790" s="19"/>
      <c r="N1790" s="19"/>
      <c r="O1790" s="20"/>
      <c r="P1790" s="20"/>
    </row>
    <row r="1791" customFormat="false" ht="14.25" hidden="false" customHeight="true" outlineLevel="0" collapsed="false">
      <c r="A1791" s="3" t="s">
        <v>1259</v>
      </c>
      <c r="B1791" s="3" t="s">
        <v>1260</v>
      </c>
      <c r="C1791" s="3" t="n">
        <v>226052</v>
      </c>
      <c r="D1791" s="3" t="s">
        <v>1277</v>
      </c>
      <c r="E1791" s="18" t="n">
        <v>45196</v>
      </c>
      <c r="F1791" s="3" t="s">
        <v>1262</v>
      </c>
      <c r="G1791" s="3" t="s">
        <v>5</v>
      </c>
      <c r="H1791" s="19"/>
      <c r="I1791" s="19"/>
      <c r="J1791" s="20"/>
      <c r="K1791" s="20"/>
      <c r="L1791" s="19"/>
      <c r="M1791" s="19"/>
      <c r="N1791" s="19"/>
      <c r="O1791" s="20"/>
      <c r="P1791" s="20"/>
    </row>
    <row r="1792" customFormat="false" ht="14.25" hidden="false" customHeight="true" outlineLevel="0" collapsed="false">
      <c r="A1792" s="3" t="s">
        <v>1259</v>
      </c>
      <c r="B1792" s="3" t="s">
        <v>1260</v>
      </c>
      <c r="C1792" s="3" t="n">
        <v>226052</v>
      </c>
      <c r="D1792" s="3" t="s">
        <v>1278</v>
      </c>
      <c r="E1792" s="18" t="n">
        <v>45209</v>
      </c>
      <c r="F1792" s="3" t="s">
        <v>1262</v>
      </c>
      <c r="G1792" s="3" t="s">
        <v>5</v>
      </c>
      <c r="H1792" s="19"/>
      <c r="I1792" s="19"/>
      <c r="J1792" s="20"/>
      <c r="K1792" s="20"/>
      <c r="L1792" s="19"/>
      <c r="M1792" s="19"/>
      <c r="N1792" s="19"/>
      <c r="O1792" s="20"/>
      <c r="P1792" s="20"/>
    </row>
    <row r="1793" customFormat="false" ht="14.25" hidden="false" customHeight="true" outlineLevel="0" collapsed="false">
      <c r="A1793" s="3" t="s">
        <v>1259</v>
      </c>
      <c r="B1793" s="3" t="s">
        <v>1260</v>
      </c>
      <c r="C1793" s="3" t="n">
        <v>226052</v>
      </c>
      <c r="D1793" s="3" t="s">
        <v>1488</v>
      </c>
      <c r="E1793" s="18" t="n">
        <v>45211</v>
      </c>
      <c r="F1793" s="3" t="s">
        <v>1262</v>
      </c>
      <c r="G1793" s="3" t="s">
        <v>5</v>
      </c>
      <c r="H1793" s="19"/>
      <c r="I1793" s="19"/>
      <c r="J1793" s="20"/>
      <c r="K1793" s="20"/>
      <c r="L1793" s="19"/>
      <c r="M1793" s="19"/>
      <c r="N1793" s="19"/>
      <c r="O1793" s="20"/>
      <c r="P1793" s="20"/>
    </row>
    <row r="1794" customFormat="false" ht="14.25" hidden="false" customHeight="true" outlineLevel="0" collapsed="false">
      <c r="A1794" s="3" t="s">
        <v>1259</v>
      </c>
      <c r="B1794" s="3" t="s">
        <v>1260</v>
      </c>
      <c r="C1794" s="3" t="n">
        <v>226052</v>
      </c>
      <c r="D1794" s="3" t="s">
        <v>1489</v>
      </c>
      <c r="E1794" s="18" t="n">
        <v>45212</v>
      </c>
      <c r="F1794" s="3" t="s">
        <v>1262</v>
      </c>
      <c r="G1794" s="3" t="s">
        <v>5</v>
      </c>
      <c r="H1794" s="19"/>
      <c r="I1794" s="19"/>
      <c r="J1794" s="20"/>
      <c r="K1794" s="20"/>
      <c r="L1794" s="19"/>
      <c r="M1794" s="19"/>
      <c r="N1794" s="19"/>
      <c r="O1794" s="20"/>
      <c r="P1794" s="20"/>
    </row>
    <row r="1795" customFormat="false" ht="14.25" hidden="false" customHeight="true" outlineLevel="0" collapsed="false">
      <c r="A1795" s="3" t="s">
        <v>1259</v>
      </c>
      <c r="B1795" s="3" t="s">
        <v>1260</v>
      </c>
      <c r="C1795" s="3" t="n">
        <v>226052</v>
      </c>
      <c r="D1795" s="3" t="s">
        <v>1490</v>
      </c>
      <c r="E1795" s="18" t="n">
        <v>45216</v>
      </c>
      <c r="F1795" s="3" t="s">
        <v>1262</v>
      </c>
      <c r="G1795" s="3" t="s">
        <v>5</v>
      </c>
      <c r="H1795" s="19"/>
      <c r="I1795" s="19"/>
      <c r="J1795" s="20"/>
      <c r="K1795" s="20"/>
      <c r="L1795" s="19"/>
      <c r="M1795" s="19"/>
      <c r="N1795" s="19"/>
      <c r="O1795" s="20"/>
      <c r="P1795" s="20"/>
    </row>
    <row r="1796" customFormat="false" ht="14.25" hidden="false" customHeight="true" outlineLevel="0" collapsed="false">
      <c r="A1796" s="3" t="s">
        <v>1259</v>
      </c>
      <c r="B1796" s="3" t="s">
        <v>1260</v>
      </c>
      <c r="C1796" s="3" t="n">
        <v>226052</v>
      </c>
      <c r="D1796" s="3" t="s">
        <v>1279</v>
      </c>
      <c r="E1796" s="18" t="n">
        <v>45223</v>
      </c>
      <c r="F1796" s="3" t="s">
        <v>1262</v>
      </c>
      <c r="G1796" s="3" t="s">
        <v>5</v>
      </c>
      <c r="H1796" s="19"/>
      <c r="I1796" s="19"/>
      <c r="J1796" s="20"/>
      <c r="K1796" s="20"/>
      <c r="L1796" s="19"/>
      <c r="M1796" s="19"/>
      <c r="N1796" s="19"/>
      <c r="O1796" s="20"/>
      <c r="P1796" s="20"/>
    </row>
    <row r="1797" customFormat="false" ht="14.25" hidden="false" customHeight="true" outlineLevel="0" collapsed="false">
      <c r="A1797" s="3" t="s">
        <v>1259</v>
      </c>
      <c r="B1797" s="3" t="s">
        <v>1260</v>
      </c>
      <c r="C1797" s="3" t="n">
        <v>226052</v>
      </c>
      <c r="D1797" s="3" t="s">
        <v>1425</v>
      </c>
      <c r="E1797" s="18" t="n">
        <v>45238</v>
      </c>
      <c r="F1797" s="3" t="s">
        <v>1262</v>
      </c>
      <c r="G1797" s="3" t="s">
        <v>1275</v>
      </c>
      <c r="H1797" s="19"/>
      <c r="I1797" s="19"/>
      <c r="J1797" s="20"/>
      <c r="K1797" s="20"/>
      <c r="L1797" s="19"/>
      <c r="M1797" s="19"/>
      <c r="N1797" s="19"/>
      <c r="O1797" s="20"/>
      <c r="P1797" s="20"/>
    </row>
    <row r="1798" customFormat="false" ht="14.25" hidden="false" customHeight="true" outlineLevel="0" collapsed="false">
      <c r="A1798" s="3" t="s">
        <v>1259</v>
      </c>
      <c r="B1798" s="3" t="s">
        <v>1260</v>
      </c>
      <c r="C1798" s="3" t="n">
        <v>226052</v>
      </c>
      <c r="D1798" s="3" t="s">
        <v>1281</v>
      </c>
      <c r="E1798" s="18" t="n">
        <v>45239</v>
      </c>
      <c r="F1798" s="3" t="s">
        <v>1262</v>
      </c>
      <c r="G1798" s="3" t="s">
        <v>5</v>
      </c>
      <c r="H1798" s="19"/>
      <c r="I1798" s="19"/>
      <c r="J1798" s="20"/>
      <c r="K1798" s="20"/>
      <c r="L1798" s="19"/>
      <c r="M1798" s="19"/>
      <c r="N1798" s="19"/>
      <c r="O1798" s="20"/>
      <c r="P1798" s="20"/>
    </row>
    <row r="1799" customFormat="false" ht="14.25" hidden="false" customHeight="true" outlineLevel="0" collapsed="false">
      <c r="A1799" s="3" t="s">
        <v>1259</v>
      </c>
      <c r="B1799" s="3" t="s">
        <v>1260</v>
      </c>
      <c r="C1799" s="3" t="n">
        <v>226052</v>
      </c>
      <c r="D1799" s="3" t="s">
        <v>1282</v>
      </c>
      <c r="E1799" s="18" t="n">
        <v>45253</v>
      </c>
      <c r="F1799" s="3" t="s">
        <v>1262</v>
      </c>
      <c r="G1799" s="3" t="s">
        <v>5</v>
      </c>
      <c r="H1799" s="19"/>
      <c r="I1799" s="19"/>
      <c r="J1799" s="20"/>
      <c r="K1799" s="20"/>
      <c r="L1799" s="19"/>
      <c r="M1799" s="19"/>
      <c r="N1799" s="19"/>
      <c r="O1799" s="20"/>
      <c r="P1799" s="20"/>
    </row>
    <row r="1800" customFormat="false" ht="14.25" hidden="false" customHeight="true" outlineLevel="0" collapsed="false">
      <c r="A1800" s="3" t="s">
        <v>1259</v>
      </c>
      <c r="B1800" s="3" t="s">
        <v>1260</v>
      </c>
      <c r="C1800" s="3" t="n">
        <v>226052</v>
      </c>
      <c r="D1800" s="3" t="s">
        <v>1283</v>
      </c>
      <c r="E1800" s="18" t="n">
        <v>45265</v>
      </c>
      <c r="F1800" s="3" t="s">
        <v>1262</v>
      </c>
      <c r="G1800" s="3" t="s">
        <v>5</v>
      </c>
      <c r="H1800" s="19"/>
      <c r="I1800" s="19"/>
      <c r="J1800" s="20"/>
      <c r="K1800" s="20"/>
      <c r="L1800" s="19"/>
      <c r="M1800" s="19"/>
      <c r="N1800" s="19"/>
      <c r="O1800" s="20"/>
      <c r="P1800" s="20"/>
    </row>
    <row r="1801" customFormat="false" ht="14.25" hidden="false" customHeight="true" outlineLevel="0" collapsed="false">
      <c r="A1801" s="3" t="s">
        <v>1259</v>
      </c>
      <c r="B1801" s="3" t="s">
        <v>1260</v>
      </c>
      <c r="C1801" s="3" t="n">
        <v>226052</v>
      </c>
      <c r="D1801" s="3" t="s">
        <v>1284</v>
      </c>
      <c r="E1801" s="18" t="n">
        <v>45279</v>
      </c>
      <c r="F1801" s="3" t="s">
        <v>1262</v>
      </c>
      <c r="G1801" s="3" t="s">
        <v>5</v>
      </c>
      <c r="H1801" s="19"/>
      <c r="I1801" s="19"/>
      <c r="J1801" s="20"/>
      <c r="K1801" s="20"/>
      <c r="L1801" s="19"/>
      <c r="M1801" s="19"/>
      <c r="N1801" s="19"/>
      <c r="O1801" s="20"/>
      <c r="P1801" s="20"/>
    </row>
    <row r="1802" customFormat="false" ht="14.25" hidden="false" customHeight="true" outlineLevel="0" collapsed="false">
      <c r="A1802" s="3" t="s">
        <v>1259</v>
      </c>
      <c r="B1802" s="3" t="s">
        <v>1260</v>
      </c>
      <c r="C1802" s="3" t="n">
        <v>226052</v>
      </c>
      <c r="D1802" s="3" t="s">
        <v>1410</v>
      </c>
      <c r="E1802" s="18" t="n">
        <v>45287</v>
      </c>
      <c r="F1802" s="3" t="s">
        <v>1262</v>
      </c>
      <c r="G1802" s="3" t="s">
        <v>1275</v>
      </c>
      <c r="H1802" s="19"/>
      <c r="I1802" s="19"/>
      <c r="J1802" s="20"/>
      <c r="K1802" s="20"/>
      <c r="L1802" s="19"/>
      <c r="M1802" s="19"/>
      <c r="N1802" s="19"/>
      <c r="O1802" s="20"/>
      <c r="P1802" s="20"/>
    </row>
    <row r="1803" customFormat="false" ht="14.25" hidden="false" customHeight="true" outlineLevel="0" collapsed="false">
      <c r="A1803" s="3" t="s">
        <v>1259</v>
      </c>
      <c r="B1803" s="3" t="s">
        <v>1260</v>
      </c>
      <c r="C1803" s="3" t="n">
        <v>226052</v>
      </c>
      <c r="D1803" s="3" t="s">
        <v>1286</v>
      </c>
      <c r="E1803" s="18" t="n">
        <v>45295</v>
      </c>
      <c r="F1803" s="3" t="s">
        <v>1262</v>
      </c>
      <c r="G1803" s="3" t="s">
        <v>5</v>
      </c>
      <c r="H1803" s="19"/>
      <c r="I1803" s="19"/>
      <c r="J1803" s="20"/>
      <c r="K1803" s="20"/>
      <c r="L1803" s="19"/>
      <c r="M1803" s="19"/>
      <c r="N1803" s="19"/>
      <c r="O1803" s="20"/>
      <c r="P1803" s="20"/>
    </row>
    <row r="1804" customFormat="false" ht="14.25" hidden="false" customHeight="true" outlineLevel="0" collapsed="false">
      <c r="A1804" s="3" t="s">
        <v>1259</v>
      </c>
      <c r="B1804" s="3" t="s">
        <v>1260</v>
      </c>
      <c r="C1804" s="3" t="n">
        <v>226052</v>
      </c>
      <c r="D1804" s="3" t="s">
        <v>1287</v>
      </c>
      <c r="E1804" s="18" t="n">
        <v>45307</v>
      </c>
      <c r="F1804" s="3" t="s">
        <v>1262</v>
      </c>
      <c r="G1804" s="3" t="s">
        <v>5</v>
      </c>
      <c r="H1804" s="19"/>
      <c r="I1804" s="19"/>
      <c r="J1804" s="20"/>
      <c r="K1804" s="20"/>
      <c r="L1804" s="19"/>
      <c r="M1804" s="19"/>
      <c r="N1804" s="19"/>
      <c r="O1804" s="20"/>
      <c r="P1804" s="20"/>
    </row>
    <row r="1805" customFormat="false" ht="14.25" hidden="false" customHeight="true" outlineLevel="0" collapsed="false">
      <c r="A1805" s="3" t="s">
        <v>1259</v>
      </c>
      <c r="B1805" s="3" t="s">
        <v>1260</v>
      </c>
      <c r="C1805" s="3" t="n">
        <v>226052</v>
      </c>
      <c r="D1805" s="3" t="s">
        <v>1527</v>
      </c>
      <c r="E1805" s="18" t="n">
        <v>45321</v>
      </c>
      <c r="F1805" s="3" t="s">
        <v>1262</v>
      </c>
      <c r="G1805" s="3" t="s">
        <v>1268</v>
      </c>
      <c r="H1805" s="19"/>
      <c r="I1805" s="19"/>
      <c r="J1805" s="20"/>
      <c r="K1805" s="20"/>
      <c r="L1805" s="19"/>
      <c r="M1805" s="19"/>
      <c r="N1805" s="19"/>
      <c r="O1805" s="20"/>
      <c r="P1805" s="20"/>
    </row>
    <row r="1806" customFormat="false" ht="14.25" hidden="false" customHeight="true" outlineLevel="0" collapsed="false">
      <c r="A1806" s="3" t="s">
        <v>1259</v>
      </c>
      <c r="B1806" s="3" t="s">
        <v>1260</v>
      </c>
      <c r="C1806" s="3" t="n">
        <v>226052</v>
      </c>
      <c r="D1806" s="3" t="s">
        <v>1288</v>
      </c>
      <c r="E1806" s="18" t="n">
        <v>45323</v>
      </c>
      <c r="F1806" s="3" t="s">
        <v>1262</v>
      </c>
      <c r="G1806" s="3" t="s">
        <v>5</v>
      </c>
      <c r="H1806" s="19"/>
      <c r="I1806" s="19"/>
      <c r="J1806" s="20"/>
      <c r="K1806" s="20"/>
      <c r="L1806" s="19"/>
      <c r="M1806" s="19"/>
      <c r="N1806" s="19"/>
      <c r="O1806" s="20"/>
      <c r="P1806" s="20"/>
    </row>
    <row r="1807" customFormat="false" ht="14.25" hidden="false" customHeight="true" outlineLevel="0" collapsed="false">
      <c r="A1807" s="3" t="s">
        <v>1259</v>
      </c>
      <c r="B1807" s="3" t="s">
        <v>1260</v>
      </c>
      <c r="C1807" s="3" t="n">
        <v>226052</v>
      </c>
      <c r="D1807" s="3" t="s">
        <v>1289</v>
      </c>
      <c r="E1807" s="18" t="n">
        <v>45335</v>
      </c>
      <c r="F1807" s="3" t="s">
        <v>1262</v>
      </c>
      <c r="G1807" s="3" t="s">
        <v>5</v>
      </c>
      <c r="H1807" s="19"/>
      <c r="I1807" s="19"/>
      <c r="J1807" s="20"/>
      <c r="K1807" s="20"/>
      <c r="L1807" s="19"/>
      <c r="M1807" s="19"/>
      <c r="N1807" s="19"/>
      <c r="O1807" s="20"/>
      <c r="P1807" s="20"/>
    </row>
    <row r="1808" customFormat="false" ht="14.25" hidden="false" customHeight="true" outlineLevel="0" collapsed="false">
      <c r="A1808" s="3" t="s">
        <v>1259</v>
      </c>
      <c r="B1808" s="3" t="s">
        <v>1260</v>
      </c>
      <c r="C1808" s="3" t="n">
        <v>226052</v>
      </c>
      <c r="D1808" s="3" t="s">
        <v>1290</v>
      </c>
      <c r="E1808" s="18" t="n">
        <v>45349</v>
      </c>
      <c r="F1808" s="3" t="s">
        <v>1262</v>
      </c>
      <c r="G1808" s="3" t="s">
        <v>5</v>
      </c>
      <c r="H1808" s="19"/>
      <c r="I1808" s="19"/>
      <c r="J1808" s="20"/>
      <c r="K1808" s="20"/>
      <c r="L1808" s="19"/>
      <c r="M1808" s="19"/>
      <c r="N1808" s="19"/>
      <c r="O1808" s="20"/>
      <c r="P1808" s="20"/>
    </row>
    <row r="1809" customFormat="false" ht="14.25" hidden="false" customHeight="true" outlineLevel="0" collapsed="false">
      <c r="A1809" s="3" t="s">
        <v>1259</v>
      </c>
      <c r="B1809" s="3" t="s">
        <v>1260</v>
      </c>
      <c r="C1809" s="3" t="n">
        <v>226052</v>
      </c>
      <c r="D1809" s="3" t="s">
        <v>1528</v>
      </c>
      <c r="E1809" s="18" t="n">
        <v>45350</v>
      </c>
      <c r="F1809" s="3" t="s">
        <v>1262</v>
      </c>
      <c r="G1809" s="3" t="s">
        <v>1275</v>
      </c>
      <c r="H1809" s="19"/>
      <c r="I1809" s="19"/>
      <c r="J1809" s="20"/>
      <c r="K1809" s="20"/>
      <c r="L1809" s="19"/>
      <c r="M1809" s="19"/>
      <c r="N1809" s="19"/>
      <c r="O1809" s="20"/>
      <c r="P1809" s="20"/>
    </row>
    <row r="1810" customFormat="false" ht="14.25" hidden="false" customHeight="true" outlineLevel="0" collapsed="false">
      <c r="A1810" s="3" t="s">
        <v>1259</v>
      </c>
      <c r="B1810" s="3" t="s">
        <v>1260</v>
      </c>
      <c r="C1810" s="3" t="n">
        <v>226052</v>
      </c>
      <c r="D1810" s="3" t="s">
        <v>1292</v>
      </c>
      <c r="E1810" s="18" t="n">
        <v>45363</v>
      </c>
      <c r="F1810" s="3" t="s">
        <v>1262</v>
      </c>
      <c r="G1810" s="3" t="s">
        <v>5</v>
      </c>
      <c r="H1810" s="19"/>
      <c r="I1810" s="19"/>
      <c r="J1810" s="20"/>
      <c r="K1810" s="20"/>
      <c r="L1810" s="19"/>
      <c r="M1810" s="19"/>
      <c r="N1810" s="19"/>
      <c r="O1810" s="20"/>
      <c r="P1810" s="20"/>
    </row>
    <row r="1811" customFormat="false" ht="14.25" hidden="false" customHeight="true" outlineLevel="0" collapsed="false">
      <c r="A1811" s="3" t="s">
        <v>1259</v>
      </c>
      <c r="B1811" s="3" t="s">
        <v>1260</v>
      </c>
      <c r="C1811" s="3" t="n">
        <v>226052</v>
      </c>
      <c r="D1811" s="3" t="s">
        <v>1293</v>
      </c>
      <c r="E1811" s="18" t="n">
        <v>45377</v>
      </c>
      <c r="F1811" s="3" t="s">
        <v>1262</v>
      </c>
      <c r="G1811" s="3" t="s">
        <v>5</v>
      </c>
      <c r="H1811" s="19"/>
      <c r="I1811" s="19"/>
      <c r="J1811" s="20"/>
      <c r="K1811" s="20"/>
      <c r="L1811" s="19"/>
      <c r="M1811" s="19"/>
      <c r="N1811" s="19"/>
      <c r="O1811" s="20"/>
      <c r="P1811" s="20"/>
    </row>
    <row r="1812" customFormat="false" ht="14.25" hidden="false" customHeight="true" outlineLevel="0" collapsed="false">
      <c r="A1812" s="3" t="s">
        <v>1259</v>
      </c>
      <c r="B1812" s="3" t="s">
        <v>1260</v>
      </c>
      <c r="C1812" s="3" t="n">
        <v>226052</v>
      </c>
      <c r="D1812" s="3" t="s">
        <v>1294</v>
      </c>
      <c r="E1812" s="18" t="n">
        <v>45393</v>
      </c>
      <c r="F1812" s="3" t="s">
        <v>1262</v>
      </c>
      <c r="G1812" s="3" t="s">
        <v>5</v>
      </c>
      <c r="H1812" s="19"/>
      <c r="I1812" s="19"/>
      <c r="J1812" s="20"/>
      <c r="K1812" s="20"/>
      <c r="L1812" s="19"/>
      <c r="M1812" s="19"/>
      <c r="N1812" s="19"/>
      <c r="O1812" s="20"/>
      <c r="P1812" s="20"/>
    </row>
    <row r="1813" customFormat="false" ht="14.25" hidden="false" customHeight="true" outlineLevel="0" collapsed="false">
      <c r="A1813" s="3" t="s">
        <v>1259</v>
      </c>
      <c r="B1813" s="3" t="s">
        <v>1260</v>
      </c>
      <c r="C1813" s="3" t="n">
        <v>226052</v>
      </c>
      <c r="D1813" s="3" t="s">
        <v>1461</v>
      </c>
      <c r="E1813" s="18" t="n">
        <v>45399</v>
      </c>
      <c r="F1813" s="3" t="s">
        <v>1262</v>
      </c>
      <c r="G1813" s="3" t="s">
        <v>1275</v>
      </c>
      <c r="H1813" s="19"/>
      <c r="I1813" s="19"/>
      <c r="J1813" s="20"/>
      <c r="K1813" s="20"/>
      <c r="L1813" s="19"/>
      <c r="M1813" s="19"/>
      <c r="N1813" s="19"/>
      <c r="O1813" s="20"/>
      <c r="P1813" s="20"/>
    </row>
    <row r="1814" customFormat="false" ht="14.25" hidden="false" customHeight="true" outlineLevel="0" collapsed="false">
      <c r="A1814" s="3" t="s">
        <v>1259</v>
      </c>
      <c r="B1814" s="3" t="s">
        <v>1260</v>
      </c>
      <c r="C1814" s="3" t="n">
        <v>226052</v>
      </c>
      <c r="D1814" s="3" t="s">
        <v>1295</v>
      </c>
      <c r="E1814" s="18" t="n">
        <v>45405</v>
      </c>
      <c r="F1814" s="3" t="s">
        <v>1262</v>
      </c>
      <c r="G1814" s="3" t="s">
        <v>5</v>
      </c>
      <c r="H1814" s="19"/>
      <c r="I1814" s="19"/>
      <c r="J1814" s="20"/>
      <c r="K1814" s="20"/>
      <c r="L1814" s="19"/>
      <c r="M1814" s="19"/>
      <c r="N1814" s="19"/>
      <c r="O1814" s="20"/>
      <c r="P1814" s="20"/>
    </row>
    <row r="1815" customFormat="false" ht="14.25" hidden="false" customHeight="true" outlineLevel="0" collapsed="false">
      <c r="A1815" s="3" t="s">
        <v>1259</v>
      </c>
      <c r="B1815" s="3" t="s">
        <v>1260</v>
      </c>
      <c r="C1815" s="3" t="n">
        <v>226052</v>
      </c>
      <c r="D1815" s="3" t="s">
        <v>1297</v>
      </c>
      <c r="E1815" s="18" t="n">
        <v>45419</v>
      </c>
      <c r="F1815" s="3" t="s">
        <v>1262</v>
      </c>
      <c r="G1815" s="3" t="s">
        <v>5</v>
      </c>
      <c r="H1815" s="19"/>
      <c r="I1815" s="19"/>
      <c r="J1815" s="20"/>
      <c r="K1815" s="20"/>
      <c r="L1815" s="19"/>
      <c r="M1815" s="19"/>
      <c r="N1815" s="19"/>
      <c r="O1815" s="20"/>
      <c r="P1815" s="2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6" activeCellId="0" sqref="B26"/>
    </sheetView>
  </sheetViews>
  <sheetFormatPr defaultColWidth="14.4453125" defaultRowHeight="15" zeroHeight="false" outlineLevelRow="0" outlineLevelCol="0"/>
  <cols>
    <col collapsed="false" customWidth="true" hidden="false" outlineLevel="0" max="1" min="1" style="0" width="17.58"/>
    <col collapsed="false" customWidth="true" hidden="false" outlineLevel="0" max="2" min="2" style="0" width="12.29"/>
    <col collapsed="false" customWidth="true" hidden="false" outlineLevel="0" max="3" min="3" style="0" width="7.57"/>
    <col collapsed="false" customWidth="true" hidden="false" outlineLevel="0" max="4" min="4" style="0" width="7.87"/>
    <col collapsed="false" customWidth="true" hidden="false" outlineLevel="0" max="5" min="5" style="0" width="32.87"/>
    <col collapsed="false" customWidth="true" hidden="false" outlineLevel="0" max="6" min="6" style="0" width="13.14"/>
    <col collapsed="false" customWidth="true" hidden="false" outlineLevel="0" max="7" min="7" style="0" width="29.29"/>
    <col collapsed="false" customWidth="true" hidden="false" outlineLevel="0" max="8" min="8" style="0" width="9.71"/>
    <col collapsed="false" customWidth="true" hidden="false" outlineLevel="0" max="9" min="9" style="0" width="13.86"/>
    <col collapsed="false" customWidth="true" hidden="false" outlineLevel="0" max="10" min="10" style="0" width="9.71"/>
    <col collapsed="false" customWidth="true" hidden="false" outlineLevel="0" max="11" min="11" style="0" width="9.43"/>
    <col collapsed="false" customWidth="true" hidden="false" outlineLevel="0" max="12" min="12" style="0" width="9.71"/>
    <col collapsed="false" customWidth="true" hidden="false" outlineLevel="0" max="13" min="13" style="0" width="8.71"/>
    <col collapsed="false" customWidth="true" hidden="false" outlineLevel="0" max="14" min="14" style="0" width="14.57"/>
    <col collapsed="false" customWidth="true" hidden="false" outlineLevel="0" max="15" min="15" style="0" width="8.57"/>
    <col collapsed="false" customWidth="true" hidden="false" outlineLevel="0" max="16" min="16" style="0" width="10"/>
    <col collapsed="false" customWidth="true" hidden="false" outlineLevel="0" max="17" min="17" style="0" width="6.01"/>
    <col collapsed="false" customWidth="true" hidden="false" outlineLevel="0" max="18" min="18" style="0" width="9.43"/>
    <col collapsed="false" customWidth="true" hidden="false" outlineLevel="0" max="19" min="19" style="0" width="10.43"/>
    <col collapsed="false" customWidth="true" hidden="false" outlineLevel="0" max="20" min="20" style="0" width="12.43"/>
    <col collapsed="false" customWidth="true" hidden="false" outlineLevel="0" max="21" min="21" style="0" width="14.01"/>
    <col collapsed="false" customWidth="true" hidden="false" outlineLevel="0" max="22" min="22" style="0" width="9.29"/>
    <col collapsed="false" customWidth="true" hidden="false" outlineLevel="0" max="23" min="23" style="0" width="9.71"/>
    <col collapsed="false" customWidth="true" hidden="false" outlineLevel="0" max="24" min="24" style="0" width="13.29"/>
    <col collapsed="false" customWidth="true" hidden="false" outlineLevel="0" max="25" min="25" style="0" width="9.71"/>
    <col collapsed="false" customWidth="true" hidden="false" outlineLevel="0" max="26" min="26" style="0" width="12.14"/>
    <col collapsed="false" customWidth="true" hidden="false" outlineLevel="0" max="28" min="27" style="0" width="12.86"/>
    <col collapsed="false" customWidth="true" hidden="false" outlineLevel="0" max="29" min="29" style="0" width="13.7"/>
    <col collapsed="false" customWidth="true" hidden="false" outlineLevel="0" max="30" min="30" style="0" width="14.57"/>
    <col collapsed="false" customWidth="true" hidden="false" outlineLevel="0" max="31" min="31" style="0" width="24.57"/>
    <col collapsed="false" customWidth="true" hidden="false" outlineLevel="0" max="32" min="32" style="0" width="32.14"/>
    <col collapsed="false" customWidth="true" hidden="false" outlineLevel="0" max="33" min="33" style="0" width="24.57"/>
  </cols>
  <sheetData>
    <row r="1" customFormat="false" ht="15" hidden="false" customHeight="false" outlineLevel="0" collapsed="false">
      <c r="A1" s="21" t="s">
        <v>1243</v>
      </c>
      <c r="B1" s="21" t="s">
        <v>1244</v>
      </c>
      <c r="C1" s="21" t="s">
        <v>1245</v>
      </c>
      <c r="D1" s="21" t="s">
        <v>1529</v>
      </c>
      <c r="E1" s="21" t="s">
        <v>1530</v>
      </c>
      <c r="F1" s="21" t="s">
        <v>1531</v>
      </c>
      <c r="G1" s="21" t="s">
        <v>1532</v>
      </c>
      <c r="H1" s="21" t="s">
        <v>1533</v>
      </c>
      <c r="I1" s="21" t="s">
        <v>1534</v>
      </c>
      <c r="J1" s="21" t="s">
        <v>1535</v>
      </c>
      <c r="K1" s="21" t="s">
        <v>1536</v>
      </c>
      <c r="L1" s="21" t="s">
        <v>1537</v>
      </c>
      <c r="M1" s="21" t="s">
        <v>1538</v>
      </c>
      <c r="N1" s="21" t="s">
        <v>1539</v>
      </c>
      <c r="O1" s="21" t="s">
        <v>1540</v>
      </c>
      <c r="P1" s="21" t="s">
        <v>1541</v>
      </c>
      <c r="Q1" s="21" t="s">
        <v>1542</v>
      </c>
      <c r="R1" s="21" t="s">
        <v>1543</v>
      </c>
      <c r="S1" s="21" t="s">
        <v>1544</v>
      </c>
      <c r="T1" s="21" t="s">
        <v>1545</v>
      </c>
      <c r="U1" s="21" t="s">
        <v>1546</v>
      </c>
      <c r="V1" s="21" t="s">
        <v>1547</v>
      </c>
      <c r="W1" s="21" t="s">
        <v>1548</v>
      </c>
      <c r="X1" s="21" t="s">
        <v>1549</v>
      </c>
      <c r="Y1" s="21" t="s">
        <v>1550</v>
      </c>
      <c r="Z1" s="21" t="s">
        <v>1551</v>
      </c>
      <c r="AA1" s="21" t="s">
        <v>1552</v>
      </c>
      <c r="AB1" s="21" t="s">
        <v>1553</v>
      </c>
      <c r="AC1" s="21" t="s">
        <v>1554</v>
      </c>
      <c r="AD1" s="21" t="s">
        <v>1555</v>
      </c>
      <c r="AE1" s="21" t="s">
        <v>1556</v>
      </c>
      <c r="AF1" s="21" t="s">
        <v>1557</v>
      </c>
      <c r="AG1" s="21" t="s">
        <v>1249</v>
      </c>
    </row>
    <row r="2" customFormat="false" ht="14.25" hidden="false" customHeight="true" outlineLevel="0" collapsed="false">
      <c r="A2" s="22" t="s">
        <v>1259</v>
      </c>
      <c r="B2" s="22" t="s">
        <v>1558</v>
      </c>
      <c r="C2" s="22" t="n">
        <v>221025</v>
      </c>
      <c r="D2" s="22" t="n">
        <v>1</v>
      </c>
      <c r="E2" s="22" t="s">
        <v>1559</v>
      </c>
      <c r="F2" s="22" t="n">
        <v>2</v>
      </c>
      <c r="G2" s="22" t="s">
        <v>1560</v>
      </c>
      <c r="H2" s="23" t="n">
        <v>44985</v>
      </c>
      <c r="I2" s="23" t="n">
        <v>44985</v>
      </c>
      <c r="J2" s="23" t="n">
        <v>44985</v>
      </c>
      <c r="K2" s="22"/>
      <c r="L2" s="23" t="n">
        <v>44991</v>
      </c>
      <c r="M2" s="22"/>
      <c r="N2" s="22" t="s">
        <v>1561</v>
      </c>
      <c r="O2" s="22" t="s">
        <v>1561</v>
      </c>
      <c r="P2" s="22" t="n">
        <v>38</v>
      </c>
      <c r="Q2" s="22" t="s">
        <v>1562</v>
      </c>
      <c r="R2" s="22"/>
      <c r="S2" s="22"/>
      <c r="T2" s="22"/>
      <c r="U2" s="22" t="s">
        <v>1562</v>
      </c>
      <c r="V2" s="22" t="s">
        <v>1562</v>
      </c>
      <c r="W2" s="22"/>
      <c r="X2" s="22" t="s">
        <v>1563</v>
      </c>
      <c r="Y2" s="22" t="s">
        <v>1563</v>
      </c>
      <c r="Z2" s="22" t="s">
        <v>1564</v>
      </c>
      <c r="AA2" s="22" t="s">
        <v>1564</v>
      </c>
      <c r="AB2" s="22" t="s">
        <v>1565</v>
      </c>
      <c r="AC2" s="22" t="s">
        <v>1565</v>
      </c>
      <c r="AD2" s="22" t="s">
        <v>1564</v>
      </c>
      <c r="AE2" s="22" t="s">
        <v>1564</v>
      </c>
      <c r="AF2" s="22" t="s">
        <v>1562</v>
      </c>
      <c r="AG2" s="22" t="s">
        <v>1566</v>
      </c>
    </row>
    <row r="3" customFormat="false" ht="14.25" hidden="false" customHeight="true" outlineLevel="0" collapsed="false">
      <c r="A3" s="22" t="s">
        <v>1259</v>
      </c>
      <c r="B3" s="22" t="s">
        <v>1558</v>
      </c>
      <c r="C3" s="22" t="n">
        <v>221025</v>
      </c>
      <c r="D3" s="22" t="n">
        <v>2</v>
      </c>
      <c r="E3" s="22" t="s">
        <v>1567</v>
      </c>
      <c r="F3" s="22" t="n">
        <v>1</v>
      </c>
      <c r="G3" s="22" t="s">
        <v>1568</v>
      </c>
      <c r="H3" s="23" t="n">
        <v>44980</v>
      </c>
      <c r="I3" s="23"/>
      <c r="J3" s="23" t="n">
        <v>44980</v>
      </c>
      <c r="K3" s="22"/>
      <c r="L3" s="23" t="n">
        <v>44981</v>
      </c>
      <c r="M3" s="22"/>
      <c r="N3" s="22" t="s">
        <v>1561</v>
      </c>
      <c r="O3" s="22" t="s">
        <v>1562</v>
      </c>
      <c r="P3" s="22"/>
      <c r="Q3" s="22"/>
      <c r="R3" s="22"/>
      <c r="S3" s="22"/>
      <c r="T3" s="22"/>
      <c r="U3" s="22"/>
      <c r="V3" s="22" t="s">
        <v>1562</v>
      </c>
      <c r="W3" s="22"/>
      <c r="X3" s="22" t="s">
        <v>1569</v>
      </c>
      <c r="Y3" s="22" t="s">
        <v>1569</v>
      </c>
      <c r="Z3" s="22" t="s">
        <v>1564</v>
      </c>
      <c r="AA3" s="22" t="s">
        <v>1564</v>
      </c>
      <c r="AB3" s="22" t="s">
        <v>1570</v>
      </c>
      <c r="AC3" s="22" t="s">
        <v>1570</v>
      </c>
      <c r="AD3" s="22" t="s">
        <v>1564</v>
      </c>
      <c r="AE3" s="22" t="s">
        <v>1564</v>
      </c>
      <c r="AF3" s="22" t="s">
        <v>1562</v>
      </c>
      <c r="AG3" s="22" t="s">
        <v>1566</v>
      </c>
    </row>
    <row r="4" customFormat="false" ht="14.25" hidden="false" customHeight="true" outlineLevel="0" collapsed="false">
      <c r="A4" s="22" t="s">
        <v>1259</v>
      </c>
      <c r="B4" s="22" t="s">
        <v>1558</v>
      </c>
      <c r="C4" s="22" t="n">
        <v>221025</v>
      </c>
      <c r="D4" s="22" t="n">
        <v>3</v>
      </c>
      <c r="E4" s="22" t="s">
        <v>1571</v>
      </c>
      <c r="F4" s="22" t="n">
        <v>1</v>
      </c>
      <c r="G4" s="22" t="s">
        <v>1568</v>
      </c>
      <c r="H4" s="23" t="n">
        <v>44981</v>
      </c>
      <c r="I4" s="23"/>
      <c r="J4" s="23" t="n">
        <v>44981</v>
      </c>
      <c r="K4" s="22"/>
      <c r="L4" s="23"/>
      <c r="M4" s="22"/>
      <c r="N4" s="22" t="s">
        <v>1562</v>
      </c>
      <c r="O4" s="22" t="s">
        <v>1562</v>
      </c>
      <c r="P4" s="22"/>
      <c r="Q4" s="22"/>
      <c r="R4" s="22"/>
      <c r="S4" s="22"/>
      <c r="T4" s="22"/>
      <c r="U4" s="22"/>
      <c r="V4" s="22" t="s">
        <v>1562</v>
      </c>
      <c r="W4" s="22"/>
      <c r="X4" s="22" t="s">
        <v>1569</v>
      </c>
      <c r="Y4" s="22" t="s">
        <v>1569</v>
      </c>
      <c r="Z4" s="22" t="s">
        <v>1564</v>
      </c>
      <c r="AA4" s="22" t="s">
        <v>1564</v>
      </c>
      <c r="AB4" s="22" t="s">
        <v>1570</v>
      </c>
      <c r="AC4" s="22" t="s">
        <v>1570</v>
      </c>
      <c r="AD4" s="22" t="s">
        <v>1564</v>
      </c>
      <c r="AE4" s="22" t="s">
        <v>1564</v>
      </c>
      <c r="AF4" s="22" t="s">
        <v>1562</v>
      </c>
      <c r="AG4" s="22" t="s">
        <v>1566</v>
      </c>
    </row>
    <row r="5" customFormat="false" ht="14.25" hidden="false" customHeight="true" outlineLevel="0" collapsed="false">
      <c r="A5" s="22" t="s">
        <v>1259</v>
      </c>
      <c r="B5" s="22" t="s">
        <v>1558</v>
      </c>
      <c r="C5" s="22" t="n">
        <v>221026</v>
      </c>
      <c r="D5" s="22" t="n">
        <v>4</v>
      </c>
      <c r="E5" s="22" t="s">
        <v>1572</v>
      </c>
      <c r="F5" s="22" t="n">
        <v>2</v>
      </c>
      <c r="G5" s="22" t="s">
        <v>1573</v>
      </c>
      <c r="H5" s="23" t="n">
        <v>44982</v>
      </c>
      <c r="I5" s="23"/>
      <c r="J5" s="23" t="n">
        <v>44982</v>
      </c>
      <c r="K5" s="22"/>
      <c r="L5" s="23"/>
      <c r="M5" s="22"/>
      <c r="N5" s="22" t="s">
        <v>1561</v>
      </c>
      <c r="O5" s="22" t="s">
        <v>1562</v>
      </c>
      <c r="P5" s="22"/>
      <c r="Q5" s="22"/>
      <c r="R5" s="22"/>
      <c r="S5" s="22"/>
      <c r="T5" s="22"/>
      <c r="U5" s="22"/>
      <c r="V5" s="22" t="s">
        <v>1562</v>
      </c>
      <c r="W5" s="22"/>
      <c r="X5" s="22" t="s">
        <v>1569</v>
      </c>
      <c r="Y5" s="22" t="s">
        <v>1569</v>
      </c>
      <c r="Z5" s="22" t="s">
        <v>1564</v>
      </c>
      <c r="AA5" s="22" t="s">
        <v>1564</v>
      </c>
      <c r="AB5" s="22" t="s">
        <v>1570</v>
      </c>
      <c r="AC5" s="22" t="s">
        <v>1570</v>
      </c>
      <c r="AD5" s="22" t="s">
        <v>1564</v>
      </c>
      <c r="AE5" s="22" t="s">
        <v>1564</v>
      </c>
      <c r="AF5" s="22" t="s">
        <v>1562</v>
      </c>
      <c r="AG5" s="22" t="s">
        <v>1566</v>
      </c>
    </row>
    <row r="6" customFormat="false" ht="14.25" hidden="false" customHeight="true" outlineLevel="0" collapsed="false">
      <c r="A6" s="22" t="s">
        <v>1259</v>
      </c>
      <c r="B6" s="22" t="s">
        <v>1558</v>
      </c>
      <c r="C6" s="22" t="n">
        <v>221027</v>
      </c>
      <c r="D6" s="22" t="n">
        <v>5</v>
      </c>
      <c r="E6" s="22" t="s">
        <v>1574</v>
      </c>
      <c r="F6" s="22" t="n">
        <v>2</v>
      </c>
      <c r="G6" s="22" t="s">
        <v>1573</v>
      </c>
      <c r="H6" s="23" t="n">
        <v>44982</v>
      </c>
      <c r="I6" s="23"/>
      <c r="J6" s="23" t="n">
        <v>44982</v>
      </c>
      <c r="K6" s="22"/>
      <c r="L6" s="23" t="n">
        <v>44982</v>
      </c>
      <c r="M6" s="22"/>
      <c r="N6" s="22" t="s">
        <v>1561</v>
      </c>
      <c r="O6" s="22" t="s">
        <v>1562</v>
      </c>
      <c r="P6" s="22"/>
      <c r="Q6" s="22"/>
      <c r="R6" s="22"/>
      <c r="S6" s="22"/>
      <c r="T6" s="22"/>
      <c r="U6" s="22"/>
      <c r="V6" s="22" t="s">
        <v>1562</v>
      </c>
      <c r="W6" s="22"/>
      <c r="X6" s="22" t="s">
        <v>1569</v>
      </c>
      <c r="Y6" s="22" t="s">
        <v>1569</v>
      </c>
      <c r="Z6" s="22" t="s">
        <v>1564</v>
      </c>
      <c r="AA6" s="22" t="s">
        <v>1564</v>
      </c>
      <c r="AB6" s="22" t="s">
        <v>1570</v>
      </c>
      <c r="AC6" s="22" t="s">
        <v>1570</v>
      </c>
      <c r="AD6" s="22" t="s">
        <v>1564</v>
      </c>
      <c r="AE6" s="22" t="s">
        <v>1564</v>
      </c>
      <c r="AF6" s="22" t="s">
        <v>1562</v>
      </c>
      <c r="AG6" s="22" t="s">
        <v>1566</v>
      </c>
    </row>
    <row r="7" customFormat="false" ht="14.25" hidden="false" customHeight="true" outlineLevel="0" collapsed="false">
      <c r="A7" s="22" t="s">
        <v>1259</v>
      </c>
      <c r="B7" s="22" t="s">
        <v>1558</v>
      </c>
      <c r="C7" s="22" t="n">
        <v>221029</v>
      </c>
      <c r="D7" s="22" t="n">
        <v>6</v>
      </c>
      <c r="E7" s="22" t="s">
        <v>1575</v>
      </c>
      <c r="F7" s="22" t="n">
        <v>2</v>
      </c>
      <c r="G7" s="22" t="s">
        <v>1573</v>
      </c>
      <c r="H7" s="23" t="n">
        <v>44986</v>
      </c>
      <c r="I7" s="23" t="n">
        <v>44988</v>
      </c>
      <c r="J7" s="23" t="n">
        <v>44986</v>
      </c>
      <c r="K7" s="22"/>
      <c r="L7" s="23" t="n">
        <v>44988</v>
      </c>
      <c r="M7" s="22"/>
      <c r="N7" s="22" t="s">
        <v>1561</v>
      </c>
      <c r="O7" s="22" t="s">
        <v>1561</v>
      </c>
      <c r="P7" s="22"/>
      <c r="Q7" s="22"/>
      <c r="R7" s="22"/>
      <c r="S7" s="22"/>
      <c r="T7" s="22"/>
      <c r="U7" s="22"/>
      <c r="V7" s="22" t="s">
        <v>1562</v>
      </c>
      <c r="W7" s="22"/>
      <c r="X7" s="22" t="s">
        <v>1569</v>
      </c>
      <c r="Y7" s="22" t="s">
        <v>1569</v>
      </c>
      <c r="Z7" s="22" t="s">
        <v>1564</v>
      </c>
      <c r="AA7" s="22" t="s">
        <v>1564</v>
      </c>
      <c r="AB7" s="22" t="s">
        <v>1570</v>
      </c>
      <c r="AC7" s="22" t="s">
        <v>1570</v>
      </c>
      <c r="AD7" s="22" t="s">
        <v>1564</v>
      </c>
      <c r="AE7" s="22" t="s">
        <v>1564</v>
      </c>
      <c r="AF7" s="22" t="s">
        <v>1562</v>
      </c>
      <c r="AG7" s="22" t="s">
        <v>1566</v>
      </c>
    </row>
    <row r="8" customFormat="false" ht="14.25" hidden="false" customHeight="true" outlineLevel="0" collapsed="false">
      <c r="A8" s="22" t="s">
        <v>1259</v>
      </c>
      <c r="B8" s="22" t="s">
        <v>1558</v>
      </c>
      <c r="C8" s="22" t="n">
        <v>221030</v>
      </c>
      <c r="D8" s="22" t="n">
        <v>7</v>
      </c>
      <c r="E8" s="22" t="s">
        <v>1576</v>
      </c>
      <c r="F8" s="22" t="n">
        <v>1</v>
      </c>
      <c r="G8" s="22" t="s">
        <v>1573</v>
      </c>
      <c r="H8" s="23" t="n">
        <v>44989</v>
      </c>
      <c r="I8" s="23" t="n">
        <v>44991</v>
      </c>
      <c r="J8" s="23" t="n">
        <v>44989</v>
      </c>
      <c r="K8" s="22"/>
      <c r="L8" s="23" t="n">
        <v>44992</v>
      </c>
      <c r="M8" s="22"/>
      <c r="N8" s="22" t="s">
        <v>1561</v>
      </c>
      <c r="O8" s="22" t="s">
        <v>1561</v>
      </c>
      <c r="P8" s="22"/>
      <c r="Q8" s="22"/>
      <c r="R8" s="22"/>
      <c r="S8" s="22"/>
      <c r="T8" s="22"/>
      <c r="U8" s="22"/>
      <c r="V8" s="22" t="s">
        <v>1562</v>
      </c>
      <c r="W8" s="22"/>
      <c r="X8" s="22" t="s">
        <v>1569</v>
      </c>
      <c r="Y8" s="22" t="s">
        <v>1569</v>
      </c>
      <c r="Z8" s="22" t="s">
        <v>1564</v>
      </c>
      <c r="AA8" s="22" t="s">
        <v>1564</v>
      </c>
      <c r="AB8" s="22" t="s">
        <v>1570</v>
      </c>
      <c r="AC8" s="22" t="s">
        <v>1570</v>
      </c>
      <c r="AD8" s="22" t="s">
        <v>1564</v>
      </c>
      <c r="AE8" s="22" t="s">
        <v>1564</v>
      </c>
      <c r="AF8" s="22" t="s">
        <v>1562</v>
      </c>
      <c r="AG8" s="22" t="s">
        <v>1566</v>
      </c>
    </row>
    <row r="9" customFormat="false" ht="14.25" hidden="false" customHeight="true" outlineLevel="0" collapsed="false">
      <c r="A9" s="24" t="s">
        <v>1577</v>
      </c>
      <c r="B9" s="25" t="s">
        <v>1578</v>
      </c>
      <c r="C9" s="25" t="n">
        <v>223416</v>
      </c>
      <c r="D9" s="25" t="n">
        <v>1</v>
      </c>
      <c r="E9" s="25" t="s">
        <v>1572</v>
      </c>
      <c r="F9" s="25" t="n">
        <v>3</v>
      </c>
      <c r="G9" s="25" t="s">
        <v>1573</v>
      </c>
      <c r="H9" s="23" t="n">
        <v>44985</v>
      </c>
      <c r="I9" s="23" t="n">
        <v>44985</v>
      </c>
      <c r="J9" s="23" t="n">
        <v>44985</v>
      </c>
      <c r="K9" s="22"/>
      <c r="L9" s="23" t="n">
        <v>44991</v>
      </c>
      <c r="M9" s="22"/>
      <c r="N9" s="22" t="s">
        <v>1561</v>
      </c>
      <c r="O9" s="22" t="s">
        <v>1561</v>
      </c>
      <c r="P9" s="22" t="n">
        <v>38</v>
      </c>
      <c r="Q9" s="22" t="s">
        <v>1562</v>
      </c>
      <c r="R9" s="22"/>
      <c r="S9" s="22"/>
      <c r="T9" s="22"/>
      <c r="U9" s="22" t="s">
        <v>1562</v>
      </c>
      <c r="X9" s="25" t="s">
        <v>1563</v>
      </c>
      <c r="Y9" s="25" t="s">
        <v>1563</v>
      </c>
      <c r="Z9" s="25" t="s">
        <v>1564</v>
      </c>
      <c r="AA9" s="25" t="s">
        <v>1564</v>
      </c>
      <c r="AB9" s="25" t="s">
        <v>1565</v>
      </c>
      <c r="AC9" s="25" t="s">
        <v>1565</v>
      </c>
      <c r="AD9" s="25" t="s">
        <v>1564</v>
      </c>
      <c r="AE9" s="25" t="s">
        <v>1564</v>
      </c>
      <c r="AF9" s="25" t="s">
        <v>1561</v>
      </c>
      <c r="AG9" s="25" t="s">
        <v>1566</v>
      </c>
    </row>
    <row r="10" customFormat="false" ht="14.25" hidden="false" customHeight="true" outlineLevel="0" collapsed="false">
      <c r="A10" s="24" t="s">
        <v>1577</v>
      </c>
      <c r="B10" s="25" t="s">
        <v>1578</v>
      </c>
      <c r="C10" s="25" t="n">
        <v>222262</v>
      </c>
      <c r="D10" s="25" t="n">
        <v>2</v>
      </c>
      <c r="E10" s="25" t="s">
        <v>1571</v>
      </c>
      <c r="F10" s="25" t="n">
        <v>1</v>
      </c>
      <c r="G10" s="25" t="s">
        <v>1560</v>
      </c>
      <c r="H10" s="23" t="n">
        <v>44980</v>
      </c>
      <c r="I10" s="23"/>
      <c r="J10" s="23" t="n">
        <v>44980</v>
      </c>
      <c r="K10" s="22"/>
      <c r="L10" s="23" t="n">
        <v>44981</v>
      </c>
      <c r="M10" s="22"/>
      <c r="N10" s="22" t="s">
        <v>1561</v>
      </c>
      <c r="O10" s="22" t="s">
        <v>1562</v>
      </c>
      <c r="P10" s="22"/>
      <c r="Q10" s="22"/>
      <c r="R10" s="22"/>
      <c r="S10" s="22"/>
      <c r="T10" s="22"/>
      <c r="U10" s="22"/>
      <c r="X10" s="25" t="s">
        <v>1569</v>
      </c>
      <c r="Y10" s="25" t="s">
        <v>1569</v>
      </c>
      <c r="Z10" s="25" t="s">
        <v>1564</v>
      </c>
      <c r="AA10" s="25" t="s">
        <v>1564</v>
      </c>
      <c r="AB10" s="25" t="s">
        <v>1565</v>
      </c>
      <c r="AC10" s="25" t="s">
        <v>1570</v>
      </c>
      <c r="AD10" s="25" t="s">
        <v>1564</v>
      </c>
      <c r="AE10" s="25" t="s">
        <v>1564</v>
      </c>
      <c r="AF10" s="25" t="s">
        <v>1561</v>
      </c>
      <c r="AG10" s="25" t="s">
        <v>1566</v>
      </c>
    </row>
    <row r="11" customFormat="false" ht="14.25" hidden="false" customHeight="true" outlineLevel="0" collapsed="false">
      <c r="A11" s="24" t="s">
        <v>1577</v>
      </c>
      <c r="B11" s="25" t="s">
        <v>1578</v>
      </c>
      <c r="C11" s="25" t="n">
        <v>221614</v>
      </c>
      <c r="D11" s="25" t="n">
        <v>3</v>
      </c>
      <c r="E11" s="25" t="s">
        <v>1572</v>
      </c>
      <c r="F11" s="25" t="n">
        <v>3</v>
      </c>
      <c r="G11" s="25" t="s">
        <v>1560</v>
      </c>
      <c r="H11" s="23" t="n">
        <v>44981</v>
      </c>
      <c r="I11" s="23"/>
      <c r="J11" s="23" t="n">
        <v>44981</v>
      </c>
      <c r="K11" s="22"/>
      <c r="L11" s="23"/>
      <c r="M11" s="22"/>
      <c r="N11" s="22" t="s">
        <v>1562</v>
      </c>
      <c r="O11" s="22" t="s">
        <v>1562</v>
      </c>
      <c r="P11" s="22"/>
      <c r="Q11" s="22"/>
      <c r="R11" s="22"/>
      <c r="S11" s="22"/>
      <c r="T11" s="22"/>
      <c r="U11" s="22"/>
      <c r="X11" s="25" t="s">
        <v>1563</v>
      </c>
      <c r="Y11" s="25" t="s">
        <v>1569</v>
      </c>
      <c r="Z11" s="25" t="s">
        <v>1564</v>
      </c>
      <c r="AA11" s="25" t="s">
        <v>1564</v>
      </c>
      <c r="AB11" s="25" t="s">
        <v>1570</v>
      </c>
      <c r="AC11" s="25" t="s">
        <v>1570</v>
      </c>
      <c r="AD11" s="25" t="s">
        <v>1564</v>
      </c>
      <c r="AE11" s="25" t="s">
        <v>1564</v>
      </c>
      <c r="AF11" s="25" t="s">
        <v>1562</v>
      </c>
      <c r="AG11" s="25" t="s">
        <v>1566</v>
      </c>
    </row>
    <row r="12" customFormat="false" ht="14.25" hidden="false" customHeight="true" outlineLevel="0" collapsed="false">
      <c r="A12" s="24" t="s">
        <v>1577</v>
      </c>
      <c r="B12" s="25" t="s">
        <v>1578</v>
      </c>
      <c r="C12" s="25" t="n">
        <v>225487</v>
      </c>
      <c r="D12" s="25" t="n">
        <v>4</v>
      </c>
      <c r="E12" s="25" t="s">
        <v>1579</v>
      </c>
      <c r="F12" s="25" t="n">
        <v>1</v>
      </c>
      <c r="G12" s="25" t="s">
        <v>1568</v>
      </c>
      <c r="H12" s="23" t="n">
        <v>44982</v>
      </c>
      <c r="I12" s="23"/>
      <c r="J12" s="23" t="n">
        <v>44982</v>
      </c>
      <c r="K12" s="22"/>
      <c r="L12" s="23"/>
      <c r="M12" s="22"/>
      <c r="N12" s="22" t="s">
        <v>1561</v>
      </c>
      <c r="O12" s="22" t="s">
        <v>1562</v>
      </c>
      <c r="P12" s="22"/>
      <c r="Q12" s="22"/>
      <c r="R12" s="22"/>
      <c r="S12" s="22"/>
      <c r="T12" s="22"/>
      <c r="U12" s="22"/>
      <c r="X12" s="25" t="s">
        <v>1569</v>
      </c>
      <c r="Y12" s="25" t="s">
        <v>1569</v>
      </c>
      <c r="Z12" s="25" t="s">
        <v>1564</v>
      </c>
      <c r="AA12" s="25" t="s">
        <v>1564</v>
      </c>
      <c r="AB12" s="25" t="s">
        <v>1570</v>
      </c>
      <c r="AC12" s="25" t="s">
        <v>1565</v>
      </c>
      <c r="AD12" s="25" t="s">
        <v>1564</v>
      </c>
      <c r="AE12" s="25" t="s">
        <v>1564</v>
      </c>
      <c r="AF12" s="25" t="s">
        <v>1562</v>
      </c>
      <c r="AG12" s="25" t="s">
        <v>1566</v>
      </c>
    </row>
    <row r="13" customFormat="false" ht="14.25" hidden="false" customHeight="true" outlineLevel="0" collapsed="false">
      <c r="A13" s="24" t="s">
        <v>1577</v>
      </c>
      <c r="B13" s="25" t="s">
        <v>1578</v>
      </c>
      <c r="C13" s="25" t="n">
        <v>222845</v>
      </c>
      <c r="D13" s="25" t="n">
        <v>5</v>
      </c>
      <c r="E13" s="25" t="s">
        <v>1580</v>
      </c>
      <c r="F13" s="25" t="n">
        <v>1</v>
      </c>
      <c r="G13" s="25" t="s">
        <v>1560</v>
      </c>
      <c r="H13" s="23" t="n">
        <v>44982</v>
      </c>
      <c r="I13" s="23"/>
      <c r="J13" s="23" t="n">
        <v>44982</v>
      </c>
      <c r="K13" s="22"/>
      <c r="L13" s="23" t="n">
        <v>44982</v>
      </c>
      <c r="M13" s="22"/>
      <c r="N13" s="22" t="s">
        <v>1561</v>
      </c>
      <c r="O13" s="22" t="s">
        <v>1562</v>
      </c>
      <c r="P13" s="22"/>
      <c r="Q13" s="22"/>
      <c r="R13" s="22"/>
      <c r="S13" s="22"/>
      <c r="T13" s="22"/>
      <c r="U13" s="22"/>
      <c r="X13" s="25" t="s">
        <v>1569</v>
      </c>
      <c r="Y13" s="25" t="s">
        <v>1569</v>
      </c>
      <c r="Z13" s="25" t="s">
        <v>1564</v>
      </c>
      <c r="AA13" s="25" t="s">
        <v>1564</v>
      </c>
      <c r="AB13" s="25" t="s">
        <v>1565</v>
      </c>
      <c r="AC13" s="25" t="s">
        <v>1570</v>
      </c>
      <c r="AD13" s="25" t="s">
        <v>1564</v>
      </c>
      <c r="AE13" s="25" t="s">
        <v>1564</v>
      </c>
      <c r="AF13" s="25" t="s">
        <v>1561</v>
      </c>
      <c r="AG13" s="25" t="s">
        <v>1566</v>
      </c>
    </row>
    <row r="14" customFormat="false" ht="14.25" hidden="false" customHeight="true" outlineLevel="0" collapsed="false">
      <c r="A14" s="24" t="s">
        <v>1577</v>
      </c>
      <c r="B14" s="25" t="s">
        <v>1578</v>
      </c>
      <c r="C14" s="25" t="n">
        <v>226477</v>
      </c>
      <c r="D14" s="25" t="n">
        <v>6</v>
      </c>
      <c r="E14" s="25" t="s">
        <v>1572</v>
      </c>
      <c r="F14" s="25" t="n">
        <v>2</v>
      </c>
      <c r="G14" s="25" t="s">
        <v>1560</v>
      </c>
      <c r="H14" s="23" t="n">
        <v>44986</v>
      </c>
      <c r="I14" s="23" t="n">
        <v>44988</v>
      </c>
      <c r="J14" s="23" t="n">
        <v>44986</v>
      </c>
      <c r="K14" s="22"/>
      <c r="L14" s="23" t="n">
        <v>44988</v>
      </c>
      <c r="M14" s="22"/>
      <c r="N14" s="22" t="s">
        <v>1561</v>
      </c>
      <c r="O14" s="22" t="s">
        <v>1561</v>
      </c>
      <c r="P14" s="22"/>
      <c r="Q14" s="22"/>
      <c r="R14" s="22"/>
      <c r="S14" s="22"/>
      <c r="T14" s="22"/>
      <c r="U14" s="22"/>
      <c r="X14" s="25" t="s">
        <v>1569</v>
      </c>
      <c r="Y14" s="25" t="s">
        <v>1563</v>
      </c>
      <c r="Z14" s="25" t="s">
        <v>1564</v>
      </c>
      <c r="AA14" s="25" t="s">
        <v>1564</v>
      </c>
      <c r="AB14" s="25" t="s">
        <v>1565</v>
      </c>
      <c r="AC14" s="25" t="s">
        <v>1565</v>
      </c>
      <c r="AD14" s="25" t="s">
        <v>1564</v>
      </c>
      <c r="AE14" s="25" t="s">
        <v>1564</v>
      </c>
      <c r="AF14" s="25" t="s">
        <v>1562</v>
      </c>
      <c r="AG14" s="25" t="s">
        <v>1566</v>
      </c>
    </row>
    <row r="15" customFormat="false" ht="14.25" hidden="false" customHeight="true" outlineLevel="0" collapsed="false">
      <c r="A15" s="24" t="s">
        <v>1577</v>
      </c>
      <c r="B15" s="25" t="s">
        <v>1578</v>
      </c>
      <c r="C15" s="25" t="n">
        <v>228571</v>
      </c>
      <c r="D15" s="25" t="n">
        <v>7</v>
      </c>
      <c r="E15" s="25" t="s">
        <v>1580</v>
      </c>
      <c r="F15" s="25" t="n">
        <v>3</v>
      </c>
      <c r="G15" s="25" t="s">
        <v>1573</v>
      </c>
      <c r="H15" s="23" t="n">
        <v>44989</v>
      </c>
      <c r="I15" s="23" t="n">
        <v>44991</v>
      </c>
      <c r="J15" s="23" t="n">
        <v>44989</v>
      </c>
      <c r="K15" s="22"/>
      <c r="L15" s="23" t="n">
        <v>44992</v>
      </c>
      <c r="M15" s="22"/>
      <c r="N15" s="22" t="s">
        <v>1561</v>
      </c>
      <c r="O15" s="22" t="s">
        <v>1561</v>
      </c>
      <c r="P15" s="22"/>
      <c r="Q15" s="22"/>
      <c r="R15" s="22"/>
      <c r="S15" s="22"/>
      <c r="T15" s="22"/>
      <c r="U15" s="22"/>
      <c r="X15" s="25" t="s">
        <v>1563</v>
      </c>
      <c r="Y15" s="25" t="s">
        <v>1563</v>
      </c>
      <c r="Z15" s="25" t="s">
        <v>1564</v>
      </c>
      <c r="AA15" s="25" t="s">
        <v>1564</v>
      </c>
      <c r="AB15" s="25" t="s">
        <v>1565</v>
      </c>
      <c r="AC15" s="25" t="s">
        <v>1570</v>
      </c>
      <c r="AD15" s="25" t="s">
        <v>1564</v>
      </c>
      <c r="AE15" s="25" t="s">
        <v>1564</v>
      </c>
      <c r="AF15" s="25" t="s">
        <v>1561</v>
      </c>
      <c r="AG15" s="25" t="s">
        <v>1566</v>
      </c>
    </row>
    <row r="16" customFormat="false" ht="14.25" hidden="false" customHeight="true" outlineLevel="0" collapsed="false">
      <c r="A16" s="24" t="s">
        <v>1581</v>
      </c>
      <c r="B16" s="25" t="s">
        <v>1582</v>
      </c>
      <c r="C16" s="25" t="n">
        <v>227602</v>
      </c>
      <c r="D16" s="25" t="n">
        <v>1</v>
      </c>
      <c r="E16" s="25" t="s">
        <v>1571</v>
      </c>
      <c r="F16" s="25" t="n">
        <v>1</v>
      </c>
      <c r="G16" s="25" t="s">
        <v>1560</v>
      </c>
      <c r="H16" s="23" t="n">
        <v>44985</v>
      </c>
      <c r="I16" s="23" t="n">
        <v>44985</v>
      </c>
      <c r="J16" s="23" t="n">
        <v>44985</v>
      </c>
      <c r="K16" s="22"/>
      <c r="L16" s="23" t="n">
        <v>44991</v>
      </c>
      <c r="M16" s="22"/>
      <c r="N16" s="22" t="s">
        <v>1561</v>
      </c>
      <c r="O16" s="22" t="s">
        <v>1561</v>
      </c>
      <c r="P16" s="22" t="n">
        <v>38</v>
      </c>
      <c r="Q16" s="22" t="s">
        <v>1562</v>
      </c>
      <c r="R16" s="22"/>
      <c r="S16" s="22"/>
      <c r="T16" s="22"/>
      <c r="U16" s="22" t="s">
        <v>1562</v>
      </c>
      <c r="X16" s="25" t="s">
        <v>1569</v>
      </c>
      <c r="Y16" s="25" t="s">
        <v>1563</v>
      </c>
      <c r="Z16" s="25" t="s">
        <v>1564</v>
      </c>
      <c r="AA16" s="25" t="s">
        <v>1564</v>
      </c>
      <c r="AB16" s="25" t="s">
        <v>1570</v>
      </c>
      <c r="AC16" s="25" t="s">
        <v>1565</v>
      </c>
      <c r="AD16" s="25" t="s">
        <v>1564</v>
      </c>
      <c r="AE16" s="25" t="s">
        <v>1564</v>
      </c>
      <c r="AF16" s="25" t="s">
        <v>1561</v>
      </c>
      <c r="AG16" s="25" t="s">
        <v>1566</v>
      </c>
    </row>
    <row r="17" customFormat="false" ht="14.25" hidden="false" customHeight="true" outlineLevel="0" collapsed="false">
      <c r="A17" s="24" t="s">
        <v>1581</v>
      </c>
      <c r="B17" s="25" t="s">
        <v>1582</v>
      </c>
      <c r="C17" s="25" t="n">
        <v>221746</v>
      </c>
      <c r="D17" s="25" t="n">
        <v>2</v>
      </c>
      <c r="E17" s="25" t="s">
        <v>1579</v>
      </c>
      <c r="F17" s="25" t="n">
        <v>3</v>
      </c>
      <c r="G17" s="25" t="s">
        <v>1573</v>
      </c>
      <c r="H17" s="23" t="n">
        <v>44980</v>
      </c>
      <c r="I17" s="23"/>
      <c r="J17" s="23" t="n">
        <v>44980</v>
      </c>
      <c r="K17" s="22"/>
      <c r="L17" s="23" t="n">
        <v>44981</v>
      </c>
      <c r="M17" s="22"/>
      <c r="N17" s="22" t="s">
        <v>1561</v>
      </c>
      <c r="O17" s="22" t="s">
        <v>1562</v>
      </c>
      <c r="P17" s="22"/>
      <c r="Q17" s="22"/>
      <c r="R17" s="22"/>
      <c r="S17" s="22"/>
      <c r="T17" s="22"/>
      <c r="U17" s="22"/>
      <c r="X17" s="25" t="s">
        <v>1563</v>
      </c>
      <c r="Y17" s="25" t="s">
        <v>1569</v>
      </c>
      <c r="Z17" s="25" t="s">
        <v>1564</v>
      </c>
      <c r="AA17" s="25" t="s">
        <v>1564</v>
      </c>
      <c r="AB17" s="25" t="s">
        <v>1570</v>
      </c>
      <c r="AC17" s="25" t="s">
        <v>1565</v>
      </c>
      <c r="AD17" s="25" t="s">
        <v>1564</v>
      </c>
      <c r="AE17" s="25" t="s">
        <v>1564</v>
      </c>
      <c r="AF17" s="25" t="s">
        <v>1561</v>
      </c>
      <c r="AG17" s="25" t="s">
        <v>1566</v>
      </c>
    </row>
    <row r="18" customFormat="false" ht="14.25" hidden="false" customHeight="true" outlineLevel="0" collapsed="false">
      <c r="A18" s="24" t="s">
        <v>1581</v>
      </c>
      <c r="B18" s="25" t="s">
        <v>1582</v>
      </c>
      <c r="C18" s="25" t="n">
        <v>224267</v>
      </c>
      <c r="D18" s="25" t="n">
        <v>3</v>
      </c>
      <c r="E18" s="25" t="s">
        <v>1580</v>
      </c>
      <c r="F18" s="25" t="n">
        <v>1</v>
      </c>
      <c r="G18" s="25" t="s">
        <v>1573</v>
      </c>
      <c r="H18" s="23" t="n">
        <v>44981</v>
      </c>
      <c r="I18" s="23"/>
      <c r="J18" s="23" t="n">
        <v>44981</v>
      </c>
      <c r="K18" s="22"/>
      <c r="L18" s="23"/>
      <c r="M18" s="22"/>
      <c r="N18" s="22" t="s">
        <v>1562</v>
      </c>
      <c r="O18" s="22" t="s">
        <v>1562</v>
      </c>
      <c r="P18" s="22"/>
      <c r="Q18" s="22"/>
      <c r="R18" s="22"/>
      <c r="S18" s="22"/>
      <c r="T18" s="22"/>
      <c r="U18" s="22"/>
      <c r="X18" s="25" t="s">
        <v>1569</v>
      </c>
      <c r="Y18" s="25" t="s">
        <v>1563</v>
      </c>
      <c r="Z18" s="25" t="s">
        <v>1564</v>
      </c>
      <c r="AA18" s="25" t="s">
        <v>1564</v>
      </c>
      <c r="AB18" s="25" t="s">
        <v>1570</v>
      </c>
      <c r="AC18" s="25" t="s">
        <v>1570</v>
      </c>
      <c r="AD18" s="25" t="s">
        <v>1564</v>
      </c>
      <c r="AE18" s="25" t="s">
        <v>1564</v>
      </c>
      <c r="AF18" s="25" t="s">
        <v>1561</v>
      </c>
      <c r="AG18" s="25" t="s">
        <v>1566</v>
      </c>
    </row>
    <row r="19" customFormat="false" ht="14.25" hidden="false" customHeight="true" outlineLevel="0" collapsed="false">
      <c r="A19" s="24" t="s">
        <v>1581</v>
      </c>
      <c r="B19" s="25" t="s">
        <v>1582</v>
      </c>
      <c r="C19" s="25" t="n">
        <v>224257</v>
      </c>
      <c r="D19" s="25" t="n">
        <v>4</v>
      </c>
      <c r="E19" s="25" t="s">
        <v>1571</v>
      </c>
      <c r="F19" s="25" t="n">
        <v>2</v>
      </c>
      <c r="G19" s="25" t="s">
        <v>1568</v>
      </c>
      <c r="H19" s="23" t="n">
        <v>44985</v>
      </c>
      <c r="I19" s="23" t="n">
        <v>44985</v>
      </c>
      <c r="J19" s="23" t="n">
        <v>44985</v>
      </c>
      <c r="K19" s="22"/>
      <c r="L19" s="23" t="n">
        <v>44991</v>
      </c>
      <c r="M19" s="22"/>
      <c r="N19" s="22" t="s">
        <v>1561</v>
      </c>
      <c r="O19" s="22" t="s">
        <v>1561</v>
      </c>
      <c r="P19" s="22" t="n">
        <v>38</v>
      </c>
      <c r="Q19" s="22" t="s">
        <v>1562</v>
      </c>
      <c r="R19" s="22"/>
      <c r="S19" s="22"/>
      <c r="T19" s="22"/>
      <c r="U19" s="22" t="s">
        <v>1562</v>
      </c>
      <c r="X19" s="25" t="s">
        <v>1563</v>
      </c>
      <c r="Y19" s="25" t="s">
        <v>1563</v>
      </c>
      <c r="Z19" s="25" t="s">
        <v>1564</v>
      </c>
      <c r="AA19" s="25" t="s">
        <v>1564</v>
      </c>
      <c r="AB19" s="25" t="s">
        <v>1570</v>
      </c>
      <c r="AC19" s="25" t="s">
        <v>1565</v>
      </c>
      <c r="AD19" s="25" t="s">
        <v>1564</v>
      </c>
      <c r="AE19" s="25" t="s">
        <v>1564</v>
      </c>
      <c r="AF19" s="25" t="s">
        <v>1562</v>
      </c>
      <c r="AG19" s="25" t="s">
        <v>1566</v>
      </c>
    </row>
    <row r="20" customFormat="false" ht="14.25" hidden="false" customHeight="true" outlineLevel="0" collapsed="false">
      <c r="A20" s="24" t="s">
        <v>1581</v>
      </c>
      <c r="B20" s="25" t="s">
        <v>1582</v>
      </c>
      <c r="C20" s="25" t="n">
        <v>225612</v>
      </c>
      <c r="D20" s="25" t="n">
        <v>5</v>
      </c>
      <c r="E20" s="25" t="s">
        <v>1580</v>
      </c>
      <c r="F20" s="25" t="n">
        <v>1</v>
      </c>
      <c r="G20" s="25" t="s">
        <v>1573</v>
      </c>
      <c r="H20" s="23" t="n">
        <v>44980</v>
      </c>
      <c r="I20" s="23"/>
      <c r="J20" s="23" t="n">
        <v>44980</v>
      </c>
      <c r="K20" s="22"/>
      <c r="L20" s="23" t="n">
        <v>44981</v>
      </c>
      <c r="M20" s="22"/>
      <c r="N20" s="22" t="s">
        <v>1561</v>
      </c>
      <c r="O20" s="22" t="s">
        <v>1562</v>
      </c>
      <c r="P20" s="22"/>
      <c r="Q20" s="22"/>
      <c r="R20" s="22"/>
      <c r="S20" s="22"/>
      <c r="T20" s="22"/>
      <c r="U20" s="22"/>
      <c r="X20" s="25" t="s">
        <v>1563</v>
      </c>
      <c r="Y20" s="25" t="s">
        <v>1563</v>
      </c>
      <c r="Z20" s="25" t="s">
        <v>1564</v>
      </c>
      <c r="AA20" s="25" t="s">
        <v>1564</v>
      </c>
      <c r="AB20" s="25" t="s">
        <v>1570</v>
      </c>
      <c r="AC20" s="25" t="s">
        <v>1565</v>
      </c>
      <c r="AD20" s="25" t="s">
        <v>1564</v>
      </c>
      <c r="AE20" s="25" t="s">
        <v>1564</v>
      </c>
      <c r="AF20" s="25" t="s">
        <v>1561</v>
      </c>
      <c r="AG20" s="25" t="s">
        <v>1566</v>
      </c>
    </row>
    <row r="21" customFormat="false" ht="14.25" hidden="false" customHeight="true" outlineLevel="0" collapsed="false">
      <c r="A21" s="24" t="s">
        <v>1581</v>
      </c>
      <c r="B21" s="25" t="s">
        <v>1582</v>
      </c>
      <c r="C21" s="25" t="n">
        <v>228030</v>
      </c>
      <c r="D21" s="25" t="n">
        <v>6</v>
      </c>
      <c r="E21" s="25" t="s">
        <v>1580</v>
      </c>
      <c r="F21" s="25" t="n">
        <v>2</v>
      </c>
      <c r="G21" s="25" t="s">
        <v>1568</v>
      </c>
      <c r="H21" s="23" t="n">
        <v>44981</v>
      </c>
      <c r="I21" s="23"/>
      <c r="J21" s="23" t="n">
        <v>44981</v>
      </c>
      <c r="K21" s="22"/>
      <c r="L21" s="23"/>
      <c r="M21" s="22"/>
      <c r="N21" s="22" t="s">
        <v>1562</v>
      </c>
      <c r="O21" s="22" t="s">
        <v>1562</v>
      </c>
      <c r="P21" s="22"/>
      <c r="Q21" s="22"/>
      <c r="R21" s="22"/>
      <c r="S21" s="22"/>
      <c r="T21" s="22"/>
      <c r="U21" s="22"/>
      <c r="X21" s="25" t="s">
        <v>1569</v>
      </c>
      <c r="Y21" s="25" t="s">
        <v>1569</v>
      </c>
      <c r="Z21" s="25" t="s">
        <v>1564</v>
      </c>
      <c r="AA21" s="25" t="s">
        <v>1564</v>
      </c>
      <c r="AB21" s="25" t="s">
        <v>1570</v>
      </c>
      <c r="AC21" s="25" t="s">
        <v>1570</v>
      </c>
      <c r="AD21" s="25" t="s">
        <v>1564</v>
      </c>
      <c r="AE21" s="25" t="s">
        <v>1564</v>
      </c>
      <c r="AF21" s="25" t="s">
        <v>1562</v>
      </c>
      <c r="AG21" s="25" t="s">
        <v>1566</v>
      </c>
    </row>
    <row r="22" customFormat="false" ht="14.25" hidden="false" customHeight="true" outlineLevel="0" collapsed="false">
      <c r="A22" s="24" t="s">
        <v>1581</v>
      </c>
      <c r="B22" s="25" t="s">
        <v>1582</v>
      </c>
      <c r="C22" s="25" t="n">
        <v>222614</v>
      </c>
      <c r="D22" s="25" t="n">
        <v>7</v>
      </c>
      <c r="E22" s="25" t="s">
        <v>1580</v>
      </c>
      <c r="F22" s="25" t="n">
        <v>2</v>
      </c>
      <c r="G22" s="25" t="s">
        <v>1560</v>
      </c>
      <c r="H22" s="23" t="n">
        <v>44982</v>
      </c>
      <c r="I22" s="23"/>
      <c r="J22" s="23" t="n">
        <v>44982</v>
      </c>
      <c r="K22" s="22"/>
      <c r="L22" s="23"/>
      <c r="M22" s="22"/>
      <c r="N22" s="22" t="s">
        <v>1561</v>
      </c>
      <c r="O22" s="22" t="s">
        <v>1562</v>
      </c>
      <c r="P22" s="22"/>
      <c r="Q22" s="22"/>
      <c r="R22" s="22"/>
      <c r="S22" s="22"/>
      <c r="T22" s="22"/>
      <c r="U22" s="22"/>
      <c r="X22" s="25" t="s">
        <v>1569</v>
      </c>
      <c r="Y22" s="25" t="s">
        <v>1563</v>
      </c>
      <c r="Z22" s="25" t="s">
        <v>1564</v>
      </c>
      <c r="AA22" s="25" t="s">
        <v>1564</v>
      </c>
      <c r="AB22" s="25" t="s">
        <v>1570</v>
      </c>
      <c r="AC22" s="25" t="s">
        <v>1570</v>
      </c>
      <c r="AD22" s="25" t="s">
        <v>1564</v>
      </c>
      <c r="AE22" s="25" t="s">
        <v>1564</v>
      </c>
      <c r="AF22" s="25" t="s">
        <v>1561</v>
      </c>
      <c r="AG22" s="25" t="s">
        <v>1566</v>
      </c>
    </row>
    <row r="23" customFormat="false" ht="14.25" hidden="false" customHeight="true" outlineLevel="0" collapsed="false">
      <c r="A23" s="24" t="s">
        <v>1581</v>
      </c>
      <c r="B23" s="25" t="s">
        <v>1582</v>
      </c>
      <c r="C23" s="25" t="n">
        <v>225625</v>
      </c>
      <c r="D23" s="25" t="n">
        <v>8</v>
      </c>
      <c r="E23" s="25" t="s">
        <v>1571</v>
      </c>
      <c r="F23" s="25" t="n">
        <v>1</v>
      </c>
      <c r="G23" s="25" t="s">
        <v>1568</v>
      </c>
      <c r="H23" s="23" t="n">
        <v>44982</v>
      </c>
      <c r="I23" s="23"/>
      <c r="J23" s="23" t="n">
        <v>44982</v>
      </c>
      <c r="K23" s="22"/>
      <c r="L23" s="23" t="n">
        <v>44982</v>
      </c>
      <c r="M23" s="22"/>
      <c r="N23" s="22" t="s">
        <v>1561</v>
      </c>
      <c r="O23" s="22" t="s">
        <v>1562</v>
      </c>
      <c r="P23" s="22"/>
      <c r="Q23" s="22"/>
      <c r="R23" s="22"/>
      <c r="S23" s="22"/>
      <c r="T23" s="22"/>
      <c r="U23" s="22"/>
      <c r="X23" s="25" t="s">
        <v>1563</v>
      </c>
      <c r="Y23" s="25" t="s">
        <v>1563</v>
      </c>
      <c r="Z23" s="25" t="s">
        <v>1564</v>
      </c>
      <c r="AA23" s="25" t="s">
        <v>1564</v>
      </c>
      <c r="AB23" s="25" t="s">
        <v>1565</v>
      </c>
      <c r="AC23" s="25" t="s">
        <v>1565</v>
      </c>
      <c r="AD23" s="25" t="s">
        <v>1564</v>
      </c>
      <c r="AE23" s="25" t="s">
        <v>1564</v>
      </c>
      <c r="AF23" s="25" t="s">
        <v>1561</v>
      </c>
      <c r="AG23" s="25" t="s">
        <v>1566</v>
      </c>
    </row>
    <row r="24" customFormat="false" ht="14.25" hidden="false" customHeight="true" outlineLevel="0" collapsed="false">
      <c r="A24" s="24" t="s">
        <v>1581</v>
      </c>
      <c r="B24" s="25" t="s">
        <v>1582</v>
      </c>
      <c r="C24" s="25" t="n">
        <v>228234</v>
      </c>
      <c r="D24" s="25" t="n">
        <v>9</v>
      </c>
      <c r="E24" s="25" t="s">
        <v>1579</v>
      </c>
      <c r="F24" s="25" t="n">
        <v>3</v>
      </c>
      <c r="G24" s="25" t="s">
        <v>1568</v>
      </c>
      <c r="H24" s="23" t="n">
        <v>44986</v>
      </c>
      <c r="I24" s="23" t="n">
        <v>44988</v>
      </c>
      <c r="J24" s="23" t="n">
        <v>44986</v>
      </c>
      <c r="K24" s="22"/>
      <c r="L24" s="23" t="n">
        <v>44988</v>
      </c>
      <c r="M24" s="22"/>
      <c r="N24" s="22" t="s">
        <v>1561</v>
      </c>
      <c r="O24" s="22" t="s">
        <v>1561</v>
      </c>
      <c r="P24" s="22"/>
      <c r="Q24" s="22"/>
      <c r="R24" s="22"/>
      <c r="S24" s="22"/>
      <c r="T24" s="22"/>
      <c r="U24" s="22"/>
      <c r="X24" s="25" t="s">
        <v>1569</v>
      </c>
      <c r="Y24" s="25" t="s">
        <v>1569</v>
      </c>
      <c r="Z24" s="25" t="s">
        <v>1564</v>
      </c>
      <c r="AA24" s="25" t="s">
        <v>1564</v>
      </c>
      <c r="AB24" s="25" t="s">
        <v>1565</v>
      </c>
      <c r="AC24" s="25" t="s">
        <v>1565</v>
      </c>
      <c r="AD24" s="25" t="s">
        <v>1564</v>
      </c>
      <c r="AE24" s="25" t="s">
        <v>1564</v>
      </c>
      <c r="AF24" s="25" t="s">
        <v>1562</v>
      </c>
      <c r="AG24" s="25" t="s">
        <v>1566</v>
      </c>
    </row>
    <row r="25" customFormat="false" ht="14.25" hidden="false" customHeight="true" outlineLevel="0" collapsed="false">
      <c r="A25" s="24" t="s">
        <v>1581</v>
      </c>
      <c r="B25" s="25" t="s">
        <v>1582</v>
      </c>
      <c r="C25" s="25" t="n">
        <v>228740</v>
      </c>
      <c r="D25" s="25" t="n">
        <v>10</v>
      </c>
      <c r="E25" s="25" t="s">
        <v>1571</v>
      </c>
      <c r="F25" s="25" t="n">
        <v>2</v>
      </c>
      <c r="G25" s="25" t="s">
        <v>1568</v>
      </c>
      <c r="H25" s="23" t="n">
        <v>44989</v>
      </c>
      <c r="I25" s="23" t="n">
        <v>44991</v>
      </c>
      <c r="J25" s="23" t="n">
        <v>44989</v>
      </c>
      <c r="K25" s="22"/>
      <c r="L25" s="23" t="n">
        <v>44992</v>
      </c>
      <c r="M25" s="22"/>
      <c r="N25" s="22" t="s">
        <v>1561</v>
      </c>
      <c r="O25" s="22" t="s">
        <v>1561</v>
      </c>
      <c r="P25" s="22"/>
      <c r="Q25" s="22"/>
      <c r="R25" s="22"/>
      <c r="S25" s="22"/>
      <c r="T25" s="22"/>
      <c r="U25" s="22"/>
      <c r="X25" s="25" t="s">
        <v>1569</v>
      </c>
      <c r="Y25" s="25" t="s">
        <v>1563</v>
      </c>
      <c r="Z25" s="25" t="s">
        <v>1564</v>
      </c>
      <c r="AA25" s="25" t="s">
        <v>1564</v>
      </c>
      <c r="AB25" s="25" t="s">
        <v>1570</v>
      </c>
      <c r="AC25" s="25" t="s">
        <v>1570</v>
      </c>
      <c r="AD25" s="25" t="s">
        <v>1564</v>
      </c>
      <c r="AE25" s="25" t="s">
        <v>1564</v>
      </c>
      <c r="AF25" s="25" t="s">
        <v>1561</v>
      </c>
      <c r="AG25" s="25" t="s">
        <v>1566</v>
      </c>
    </row>
    <row r="26" customFormat="false" ht="14.25" hidden="false" customHeight="true" outlineLevel="0" collapsed="false">
      <c r="A26" s="22" t="s">
        <v>1259</v>
      </c>
      <c r="B26" s="22" t="s">
        <v>1583</v>
      </c>
      <c r="C26" s="22" t="n">
        <v>221025</v>
      </c>
      <c r="D26" s="22" t="n">
        <v>1</v>
      </c>
      <c r="E26" s="22" t="s">
        <v>1559</v>
      </c>
      <c r="F26" s="22" t="n">
        <v>2</v>
      </c>
      <c r="G26" s="22" t="s">
        <v>1560</v>
      </c>
      <c r="H26" s="23" t="n">
        <v>44985</v>
      </c>
      <c r="I26" s="23" t="n">
        <v>44985</v>
      </c>
      <c r="J26" s="23" t="n">
        <v>44985</v>
      </c>
      <c r="K26" s="22"/>
      <c r="L26" s="23" t="n">
        <v>44991</v>
      </c>
      <c r="M26" s="22"/>
      <c r="N26" s="22" t="s">
        <v>1561</v>
      </c>
      <c r="O26" s="22" t="s">
        <v>1561</v>
      </c>
      <c r="P26" s="22" t="n">
        <v>38</v>
      </c>
      <c r="Q26" s="22" t="s">
        <v>1562</v>
      </c>
      <c r="R26" s="22"/>
      <c r="S26" s="22"/>
      <c r="T26" s="22"/>
      <c r="U26" s="22" t="s">
        <v>1562</v>
      </c>
      <c r="V26" s="22" t="s">
        <v>1562</v>
      </c>
      <c r="W26" s="22"/>
      <c r="X26" s="22" t="s">
        <v>1563</v>
      </c>
      <c r="Y26" s="22" t="s">
        <v>1563</v>
      </c>
      <c r="Z26" s="22" t="s">
        <v>1564</v>
      </c>
      <c r="AA26" s="22" t="s">
        <v>1564</v>
      </c>
      <c r="AB26" s="22" t="s">
        <v>1565</v>
      </c>
      <c r="AC26" s="22" t="s">
        <v>1565</v>
      </c>
      <c r="AD26" s="22" t="s">
        <v>1564</v>
      </c>
      <c r="AE26" s="22" t="s">
        <v>1564</v>
      </c>
      <c r="AF26" s="22" t="s">
        <v>1562</v>
      </c>
      <c r="AG26" s="22" t="s">
        <v>1566</v>
      </c>
    </row>
    <row r="27" customFormat="false" ht="14.25" hidden="false" customHeight="true" outlineLevel="0" collapsed="false">
      <c r="A27" s="22" t="s">
        <v>1259</v>
      </c>
      <c r="B27" s="22" t="s">
        <v>1583</v>
      </c>
      <c r="C27" s="22" t="n">
        <v>221025</v>
      </c>
      <c r="D27" s="22" t="n">
        <v>2</v>
      </c>
      <c r="E27" s="22" t="s">
        <v>1567</v>
      </c>
      <c r="F27" s="22" t="n">
        <v>1</v>
      </c>
      <c r="G27" s="22" t="s">
        <v>1568</v>
      </c>
      <c r="H27" s="23" t="n">
        <v>44980</v>
      </c>
      <c r="I27" s="23"/>
      <c r="J27" s="23" t="n">
        <v>44980</v>
      </c>
      <c r="K27" s="22"/>
      <c r="L27" s="23" t="n">
        <v>44981</v>
      </c>
      <c r="M27" s="22"/>
      <c r="N27" s="22" t="s">
        <v>1561</v>
      </c>
      <c r="O27" s="22" t="s">
        <v>1562</v>
      </c>
      <c r="P27" s="22"/>
      <c r="Q27" s="22"/>
      <c r="R27" s="22"/>
      <c r="S27" s="22"/>
      <c r="T27" s="22"/>
      <c r="U27" s="22"/>
      <c r="V27" s="22" t="s">
        <v>1562</v>
      </c>
      <c r="W27" s="22"/>
      <c r="X27" s="22" t="s">
        <v>1569</v>
      </c>
      <c r="Y27" s="22" t="s">
        <v>1569</v>
      </c>
      <c r="Z27" s="22" t="s">
        <v>1564</v>
      </c>
      <c r="AA27" s="22" t="s">
        <v>1564</v>
      </c>
      <c r="AB27" s="22" t="s">
        <v>1570</v>
      </c>
      <c r="AC27" s="22" t="s">
        <v>1570</v>
      </c>
      <c r="AD27" s="22" t="s">
        <v>1564</v>
      </c>
      <c r="AE27" s="22" t="s">
        <v>1564</v>
      </c>
      <c r="AF27" s="22" t="s">
        <v>1562</v>
      </c>
      <c r="AG27" s="22" t="s">
        <v>1566</v>
      </c>
    </row>
    <row r="28" customFormat="false" ht="14.25" hidden="false" customHeight="true" outlineLevel="0" collapsed="false">
      <c r="A28" s="22" t="s">
        <v>1259</v>
      </c>
      <c r="B28" s="22" t="s">
        <v>1583</v>
      </c>
      <c r="C28" s="22" t="n">
        <v>221025</v>
      </c>
      <c r="D28" s="22" t="n">
        <v>3</v>
      </c>
      <c r="E28" s="22" t="s">
        <v>1571</v>
      </c>
      <c r="F28" s="22" t="n">
        <v>1</v>
      </c>
      <c r="G28" s="22" t="s">
        <v>1568</v>
      </c>
      <c r="H28" s="23" t="n">
        <v>44981</v>
      </c>
      <c r="I28" s="23"/>
      <c r="J28" s="23" t="n">
        <v>44981</v>
      </c>
      <c r="K28" s="22"/>
      <c r="L28" s="23"/>
      <c r="M28" s="22"/>
      <c r="N28" s="22" t="s">
        <v>1562</v>
      </c>
      <c r="O28" s="22" t="s">
        <v>1562</v>
      </c>
      <c r="P28" s="22"/>
      <c r="Q28" s="22"/>
      <c r="R28" s="22"/>
      <c r="S28" s="22"/>
      <c r="T28" s="22"/>
      <c r="U28" s="22"/>
      <c r="V28" s="22" t="s">
        <v>1562</v>
      </c>
      <c r="W28" s="22"/>
      <c r="X28" s="22" t="s">
        <v>1569</v>
      </c>
      <c r="Y28" s="22" t="s">
        <v>1569</v>
      </c>
      <c r="Z28" s="22" t="s">
        <v>1564</v>
      </c>
      <c r="AA28" s="22" t="s">
        <v>1564</v>
      </c>
      <c r="AB28" s="22" t="s">
        <v>1570</v>
      </c>
      <c r="AC28" s="22" t="s">
        <v>1570</v>
      </c>
      <c r="AD28" s="22" t="s">
        <v>1564</v>
      </c>
      <c r="AE28" s="22" t="s">
        <v>1564</v>
      </c>
      <c r="AF28" s="22" t="s">
        <v>1562</v>
      </c>
      <c r="AG28" s="22" t="s">
        <v>1566</v>
      </c>
    </row>
    <row r="29" customFormat="false" ht="14.25" hidden="false" customHeight="true" outlineLevel="0" collapsed="false">
      <c r="A29" s="22" t="s">
        <v>1259</v>
      </c>
      <c r="B29" s="22" t="s">
        <v>1583</v>
      </c>
      <c r="C29" s="22" t="n">
        <v>221026</v>
      </c>
      <c r="D29" s="22" t="n">
        <v>4</v>
      </c>
      <c r="E29" s="22" t="s">
        <v>1572</v>
      </c>
      <c r="F29" s="22" t="n">
        <v>2</v>
      </c>
      <c r="G29" s="22" t="s">
        <v>1573</v>
      </c>
      <c r="H29" s="23" t="n">
        <v>44982</v>
      </c>
      <c r="I29" s="23"/>
      <c r="J29" s="23" t="n">
        <v>44982</v>
      </c>
      <c r="K29" s="22"/>
      <c r="L29" s="23"/>
      <c r="M29" s="22"/>
      <c r="N29" s="22" t="s">
        <v>1561</v>
      </c>
      <c r="O29" s="22" t="s">
        <v>1562</v>
      </c>
      <c r="P29" s="22"/>
      <c r="Q29" s="22"/>
      <c r="R29" s="22"/>
      <c r="S29" s="22"/>
      <c r="T29" s="22"/>
      <c r="U29" s="22"/>
      <c r="V29" s="22" t="s">
        <v>1562</v>
      </c>
      <c r="W29" s="22"/>
      <c r="X29" s="22" t="s">
        <v>1569</v>
      </c>
      <c r="Y29" s="22" t="s">
        <v>1569</v>
      </c>
      <c r="Z29" s="22" t="s">
        <v>1564</v>
      </c>
      <c r="AA29" s="22" t="s">
        <v>1564</v>
      </c>
      <c r="AB29" s="22" t="s">
        <v>1570</v>
      </c>
      <c r="AC29" s="22" t="s">
        <v>1570</v>
      </c>
      <c r="AD29" s="22" t="s">
        <v>1564</v>
      </c>
      <c r="AE29" s="22" t="s">
        <v>1564</v>
      </c>
      <c r="AF29" s="22" t="s">
        <v>1562</v>
      </c>
      <c r="AG29" s="22" t="s">
        <v>1566</v>
      </c>
    </row>
    <row r="30" customFormat="false" ht="14.25" hidden="false" customHeight="true" outlineLevel="0" collapsed="false">
      <c r="A30" s="22" t="s">
        <v>1259</v>
      </c>
      <c r="B30" s="22" t="s">
        <v>1583</v>
      </c>
      <c r="C30" s="22" t="n">
        <v>221027</v>
      </c>
      <c r="D30" s="22" t="n">
        <v>5</v>
      </c>
      <c r="E30" s="22" t="s">
        <v>1574</v>
      </c>
      <c r="F30" s="22" t="n">
        <v>2</v>
      </c>
      <c r="G30" s="22" t="s">
        <v>1573</v>
      </c>
      <c r="H30" s="23" t="n">
        <v>44982</v>
      </c>
      <c r="I30" s="23"/>
      <c r="J30" s="23" t="n">
        <v>44982</v>
      </c>
      <c r="K30" s="22"/>
      <c r="L30" s="23" t="n">
        <v>44982</v>
      </c>
      <c r="M30" s="22"/>
      <c r="N30" s="22" t="s">
        <v>1561</v>
      </c>
      <c r="O30" s="22" t="s">
        <v>1562</v>
      </c>
      <c r="P30" s="22"/>
      <c r="Q30" s="22"/>
      <c r="R30" s="22"/>
      <c r="S30" s="22"/>
      <c r="T30" s="22"/>
      <c r="U30" s="22"/>
      <c r="V30" s="22" t="s">
        <v>1562</v>
      </c>
      <c r="W30" s="22"/>
      <c r="X30" s="22" t="s">
        <v>1569</v>
      </c>
      <c r="Y30" s="22" t="s">
        <v>1569</v>
      </c>
      <c r="Z30" s="22" t="s">
        <v>1564</v>
      </c>
      <c r="AA30" s="22" t="s">
        <v>1564</v>
      </c>
      <c r="AB30" s="22" t="s">
        <v>1570</v>
      </c>
      <c r="AC30" s="22" t="s">
        <v>1570</v>
      </c>
      <c r="AD30" s="22" t="s">
        <v>1564</v>
      </c>
      <c r="AE30" s="22" t="s">
        <v>1564</v>
      </c>
      <c r="AF30" s="22" t="s">
        <v>1562</v>
      </c>
      <c r="AG30" s="22" t="s">
        <v>1566</v>
      </c>
    </row>
    <row r="31" customFormat="false" ht="14.25" hidden="false" customHeight="true" outlineLevel="0" collapsed="false">
      <c r="A31" s="22" t="s">
        <v>1259</v>
      </c>
      <c r="B31" s="22" t="s">
        <v>1583</v>
      </c>
      <c r="C31" s="22" t="n">
        <v>221029</v>
      </c>
      <c r="D31" s="22" t="n">
        <v>6</v>
      </c>
      <c r="E31" s="22" t="s">
        <v>1575</v>
      </c>
      <c r="F31" s="22" t="n">
        <v>2</v>
      </c>
      <c r="G31" s="22" t="s">
        <v>1573</v>
      </c>
      <c r="H31" s="23" t="n">
        <v>44986</v>
      </c>
      <c r="I31" s="23" t="n">
        <v>44988</v>
      </c>
      <c r="J31" s="23" t="n">
        <v>44986</v>
      </c>
      <c r="K31" s="22"/>
      <c r="L31" s="23" t="n">
        <v>44988</v>
      </c>
      <c r="M31" s="22"/>
      <c r="N31" s="22" t="s">
        <v>1561</v>
      </c>
      <c r="O31" s="22" t="s">
        <v>1561</v>
      </c>
      <c r="P31" s="22"/>
      <c r="Q31" s="22"/>
      <c r="R31" s="22"/>
      <c r="S31" s="22"/>
      <c r="T31" s="22"/>
      <c r="U31" s="22"/>
      <c r="V31" s="22" t="s">
        <v>1562</v>
      </c>
      <c r="W31" s="22"/>
      <c r="X31" s="22" t="s">
        <v>1569</v>
      </c>
      <c r="Y31" s="22" t="s">
        <v>1569</v>
      </c>
      <c r="Z31" s="22" t="s">
        <v>1564</v>
      </c>
      <c r="AA31" s="22" t="s">
        <v>1564</v>
      </c>
      <c r="AB31" s="22" t="s">
        <v>1570</v>
      </c>
      <c r="AC31" s="22" t="s">
        <v>1570</v>
      </c>
      <c r="AD31" s="22" t="s">
        <v>1564</v>
      </c>
      <c r="AE31" s="22" t="s">
        <v>1564</v>
      </c>
      <c r="AF31" s="22" t="s">
        <v>1562</v>
      </c>
      <c r="AG31" s="22" t="s">
        <v>1566</v>
      </c>
    </row>
    <row r="32" customFormat="false" ht="14.25" hidden="false" customHeight="true" outlineLevel="0" collapsed="false">
      <c r="A32" s="22" t="s">
        <v>1259</v>
      </c>
      <c r="B32" s="22" t="s">
        <v>1583</v>
      </c>
      <c r="C32" s="22" t="n">
        <v>221030</v>
      </c>
      <c r="D32" s="22" t="n">
        <v>7</v>
      </c>
      <c r="E32" s="22" t="s">
        <v>1576</v>
      </c>
      <c r="F32" s="22" t="n">
        <v>1</v>
      </c>
      <c r="G32" s="22" t="s">
        <v>1573</v>
      </c>
      <c r="H32" s="23" t="n">
        <v>44989</v>
      </c>
      <c r="I32" s="23" t="n">
        <v>44991</v>
      </c>
      <c r="J32" s="23" t="n">
        <v>44989</v>
      </c>
      <c r="K32" s="22"/>
      <c r="L32" s="23" t="n">
        <v>44992</v>
      </c>
      <c r="M32" s="22"/>
      <c r="N32" s="22" t="s">
        <v>1561</v>
      </c>
      <c r="O32" s="22" t="s">
        <v>1561</v>
      </c>
      <c r="P32" s="22"/>
      <c r="Q32" s="22"/>
      <c r="R32" s="22"/>
      <c r="S32" s="22"/>
      <c r="T32" s="22"/>
      <c r="U32" s="22"/>
      <c r="V32" s="22" t="s">
        <v>1562</v>
      </c>
      <c r="W32" s="22"/>
      <c r="X32" s="22" t="s">
        <v>1569</v>
      </c>
      <c r="Y32" s="22" t="s">
        <v>1569</v>
      </c>
      <c r="Z32" s="22" t="s">
        <v>1564</v>
      </c>
      <c r="AA32" s="22" t="s">
        <v>1564</v>
      </c>
      <c r="AB32" s="22" t="s">
        <v>1570</v>
      </c>
      <c r="AC32" s="22" t="s">
        <v>1570</v>
      </c>
      <c r="AD32" s="22" t="s">
        <v>1564</v>
      </c>
      <c r="AE32" s="22" t="s">
        <v>1564</v>
      </c>
      <c r="AF32" s="22" t="s">
        <v>1562</v>
      </c>
      <c r="AG32" s="22" t="s">
        <v>1566</v>
      </c>
    </row>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5.29"/>
    <col collapsed="false" customWidth="true" hidden="false" outlineLevel="0" max="2" min="2" style="0" width="12.14"/>
    <col collapsed="false" customWidth="true" hidden="false" outlineLevel="0" max="3" min="3" style="0" width="7.57"/>
    <col collapsed="false" customWidth="true" hidden="false" outlineLevel="0" max="4" min="4" style="0" width="14.57"/>
    <col collapsed="false" customWidth="true" hidden="false" outlineLevel="0" max="5" min="5" style="0" width="18"/>
    <col collapsed="false" customWidth="true" hidden="false" outlineLevel="0" max="6" min="6" style="0" width="14.7"/>
    <col collapsed="false" customWidth="true" hidden="false" outlineLevel="0" max="7" min="7" style="0" width="30.01"/>
    <col collapsed="false" customWidth="true" hidden="false" outlineLevel="0" max="8" min="8" style="0" width="35.86"/>
    <col collapsed="false" customWidth="true" hidden="false" outlineLevel="0" max="9" min="9" style="0" width="8.14"/>
    <col collapsed="false" customWidth="true" hidden="false" outlineLevel="0" max="10" min="10" style="0" width="13.14"/>
    <col collapsed="false" customWidth="true" hidden="false" outlineLevel="0" max="12" min="11" style="0" width="12.71"/>
    <col collapsed="false" customWidth="true" hidden="false" outlineLevel="0" max="13" min="13" style="0" width="24"/>
  </cols>
  <sheetData>
    <row r="1" customFormat="false" ht="14.25" hidden="false" customHeight="true" outlineLevel="0" collapsed="false">
      <c r="A1" s="26" t="s">
        <v>1243</v>
      </c>
      <c r="B1" s="26" t="s">
        <v>1244</v>
      </c>
      <c r="C1" s="26" t="s">
        <v>1245</v>
      </c>
      <c r="D1" s="26" t="s">
        <v>1529</v>
      </c>
      <c r="E1" s="26" t="s">
        <v>1246</v>
      </c>
      <c r="F1" s="26" t="s">
        <v>1584</v>
      </c>
      <c r="G1" s="26" t="s">
        <v>1585</v>
      </c>
      <c r="H1" s="26" t="s">
        <v>1586</v>
      </c>
      <c r="I1" s="26" t="s">
        <v>1587</v>
      </c>
      <c r="J1" s="26" t="s">
        <v>1588</v>
      </c>
      <c r="K1" s="26" t="s">
        <v>1589</v>
      </c>
      <c r="L1" s="26" t="s">
        <v>1590</v>
      </c>
      <c r="M1" s="26" t="s">
        <v>1249</v>
      </c>
    </row>
    <row r="2" customFormat="false" ht="14.25" hidden="false" customHeight="true" outlineLevel="0" collapsed="false">
      <c r="A2" s="3" t="s">
        <v>1259</v>
      </c>
      <c r="B2" s="3" t="s">
        <v>1260</v>
      </c>
      <c r="C2" s="3" t="n">
        <v>221025</v>
      </c>
      <c r="D2" s="3" t="n">
        <v>1</v>
      </c>
      <c r="E2" s="3" t="s">
        <v>1261</v>
      </c>
      <c r="F2" s="3" t="s">
        <v>1561</v>
      </c>
      <c r="G2" s="3" t="s">
        <v>1591</v>
      </c>
      <c r="H2" s="3" t="s">
        <v>1592</v>
      </c>
      <c r="I2" s="3" t="s">
        <v>1561</v>
      </c>
      <c r="J2" s="3" t="n">
        <v>2</v>
      </c>
      <c r="K2" s="18" t="n">
        <v>44929</v>
      </c>
      <c r="M2" s="3" t="s">
        <v>1593</v>
      </c>
    </row>
    <row r="3" customFormat="false" ht="14.25" hidden="false" customHeight="true" outlineLevel="0" collapsed="false">
      <c r="A3" s="3" t="s">
        <v>1259</v>
      </c>
      <c r="B3" s="3" t="s">
        <v>1260</v>
      </c>
      <c r="C3" s="3" t="n">
        <v>221025</v>
      </c>
      <c r="D3" s="3" t="n">
        <v>2</v>
      </c>
      <c r="E3" s="3" t="s">
        <v>1261</v>
      </c>
      <c r="F3" s="3" t="s">
        <v>1561</v>
      </c>
      <c r="G3" s="3" t="s">
        <v>1591</v>
      </c>
      <c r="H3" s="3" t="s">
        <v>1594</v>
      </c>
      <c r="I3" s="3" t="s">
        <v>1561</v>
      </c>
      <c r="J3" s="3" t="n">
        <v>1</v>
      </c>
      <c r="K3" s="18" t="n">
        <v>44929</v>
      </c>
      <c r="M3" s="3" t="s">
        <v>1593</v>
      </c>
    </row>
    <row r="4" customFormat="false" ht="14.25" hidden="false" customHeight="true" outlineLevel="0" collapsed="false">
      <c r="A4" s="3" t="s">
        <v>1259</v>
      </c>
      <c r="B4" s="3" t="s">
        <v>1260</v>
      </c>
      <c r="C4" s="3" t="n">
        <v>221025</v>
      </c>
      <c r="D4" s="3" t="n">
        <v>3</v>
      </c>
      <c r="E4" s="3" t="s">
        <v>1261</v>
      </c>
      <c r="F4" s="3" t="s">
        <v>1561</v>
      </c>
      <c r="G4" s="3" t="s">
        <v>1595</v>
      </c>
      <c r="H4" s="3" t="s">
        <v>1596</v>
      </c>
      <c r="I4" s="3" t="s">
        <v>1561</v>
      </c>
      <c r="J4" s="3" t="n">
        <v>1</v>
      </c>
      <c r="K4" s="18" t="n">
        <v>44929</v>
      </c>
      <c r="M4" s="3" t="s">
        <v>1593</v>
      </c>
    </row>
    <row r="5" customFormat="false" ht="14.25" hidden="false" customHeight="true" outlineLevel="0" collapsed="false">
      <c r="A5" s="3" t="s">
        <v>1259</v>
      </c>
      <c r="B5" s="3" t="s">
        <v>1260</v>
      </c>
      <c r="C5" s="3" t="n">
        <v>221029</v>
      </c>
      <c r="D5" s="3" t="n">
        <v>1</v>
      </c>
      <c r="E5" s="3" t="s">
        <v>1261</v>
      </c>
      <c r="F5" s="3" t="s">
        <v>1561</v>
      </c>
      <c r="G5" s="3" t="s">
        <v>1597</v>
      </c>
      <c r="H5" s="3" t="s">
        <v>1598</v>
      </c>
      <c r="I5" s="3" t="s">
        <v>1561</v>
      </c>
      <c r="J5" s="3" t="n">
        <v>1</v>
      </c>
      <c r="K5" s="3" t="s">
        <v>1599</v>
      </c>
      <c r="M5" s="3" t="s">
        <v>1593</v>
      </c>
    </row>
    <row r="6" customFormat="false" ht="14.25" hidden="false" customHeight="true" outlineLevel="0" collapsed="false">
      <c r="A6" s="3" t="s">
        <v>1259</v>
      </c>
      <c r="B6" s="3" t="s">
        <v>1260</v>
      </c>
      <c r="C6" s="3" t="n">
        <v>221029</v>
      </c>
      <c r="D6" s="3" t="n">
        <v>2</v>
      </c>
      <c r="E6" s="3" t="s">
        <v>1261</v>
      </c>
      <c r="F6" s="3" t="s">
        <v>1561</v>
      </c>
      <c r="G6" s="3" t="s">
        <v>1595</v>
      </c>
      <c r="H6" s="3" t="s">
        <v>1600</v>
      </c>
      <c r="I6" s="3" t="s">
        <v>1561</v>
      </c>
      <c r="J6" s="3" t="n">
        <v>1</v>
      </c>
      <c r="K6" s="3" t="s">
        <v>1601</v>
      </c>
      <c r="M6" s="3" t="s">
        <v>1593</v>
      </c>
    </row>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4.7"/>
    <col collapsed="false" customWidth="true" hidden="false" outlineLevel="0" max="2" min="2" style="0" width="12.29"/>
    <col collapsed="false" customWidth="true" hidden="false" outlineLevel="0" max="3" min="3" style="0" width="7.57"/>
    <col collapsed="false" customWidth="true" hidden="false" outlineLevel="0" max="4" min="4" style="0" width="18.71"/>
    <col collapsed="false" customWidth="true" hidden="false" outlineLevel="0" max="5" min="5" style="0" width="24.87"/>
    <col collapsed="false" customWidth="true" hidden="false" outlineLevel="0" max="6" min="6" style="0" width="17.43"/>
    <col collapsed="false" customWidth="true" hidden="false" outlineLevel="0" max="7" min="7" style="0" width="23.87"/>
    <col collapsed="false" customWidth="true" hidden="false" outlineLevel="0" max="8" min="8" style="0" width="58.57"/>
    <col collapsed="false" customWidth="true" hidden="false" outlineLevel="0" max="9" min="9" style="0" width="15.29"/>
  </cols>
  <sheetData>
    <row r="1" customFormat="false" ht="15" hidden="false" customHeight="false" outlineLevel="0" collapsed="false">
      <c r="A1" s="3" t="s">
        <v>1243</v>
      </c>
      <c r="B1" s="3" t="s">
        <v>1244</v>
      </c>
      <c r="C1" s="3" t="s">
        <v>1245</v>
      </c>
      <c r="D1" s="3" t="s">
        <v>1246</v>
      </c>
      <c r="E1" s="3" t="s">
        <v>1602</v>
      </c>
      <c r="F1" s="3" t="s">
        <v>1603</v>
      </c>
      <c r="G1" s="3" t="s">
        <v>1604</v>
      </c>
      <c r="H1" s="3" t="s">
        <v>1249</v>
      </c>
      <c r="I1" s="3" t="s">
        <v>1605</v>
      </c>
    </row>
    <row r="2" customFormat="false" ht="15" hidden="false" customHeight="false" outlineLevel="0" collapsed="false">
      <c r="A2" s="3" t="s">
        <v>1259</v>
      </c>
      <c r="B2" s="3" t="s">
        <v>1260</v>
      </c>
      <c r="C2" s="3" t="n">
        <v>221047</v>
      </c>
      <c r="D2" s="3" t="s">
        <v>1337</v>
      </c>
      <c r="E2" s="3" t="s">
        <v>1606</v>
      </c>
      <c r="F2" s="3" t="s">
        <v>1607</v>
      </c>
      <c r="G2" s="3" t="s">
        <v>1562</v>
      </c>
      <c r="H2" s="3" t="s">
        <v>1608</v>
      </c>
    </row>
    <row r="3" customFormat="false" ht="15" hidden="false" customHeight="false" outlineLevel="0" collapsed="false">
      <c r="A3" s="3" t="s">
        <v>1259</v>
      </c>
      <c r="B3" s="3" t="s">
        <v>1260</v>
      </c>
      <c r="C3" s="3" t="n">
        <v>221063</v>
      </c>
      <c r="D3" s="3" t="s">
        <v>1376</v>
      </c>
      <c r="E3" s="3" t="s">
        <v>1609</v>
      </c>
      <c r="F3" s="3" t="s">
        <v>1607</v>
      </c>
      <c r="G3" s="3" t="s">
        <v>1562</v>
      </c>
      <c r="H3" s="3" t="s">
        <v>1608</v>
      </c>
    </row>
    <row r="4" customFormat="false" ht="15" hidden="false" customHeight="false" outlineLevel="0" collapsed="false">
      <c r="A4" s="3" t="s">
        <v>1259</v>
      </c>
      <c r="B4" s="3" t="s">
        <v>1260</v>
      </c>
      <c r="C4" s="3" t="n">
        <v>221067</v>
      </c>
      <c r="D4" s="3" t="s">
        <v>1376</v>
      </c>
      <c r="E4" s="3" t="s">
        <v>1610</v>
      </c>
      <c r="F4" s="3" t="s">
        <v>1607</v>
      </c>
      <c r="G4" s="3" t="s">
        <v>1562</v>
      </c>
      <c r="H4" s="3" t="s">
        <v>1608</v>
      </c>
    </row>
    <row r="5" customFormat="false" ht="15" hidden="false" customHeight="false" outlineLevel="0" collapsed="false">
      <c r="A5" s="3" t="s">
        <v>1259</v>
      </c>
      <c r="B5" s="3" t="s">
        <v>1260</v>
      </c>
      <c r="C5" s="3" t="n">
        <v>221025</v>
      </c>
      <c r="D5" s="3" t="s">
        <v>1264</v>
      </c>
      <c r="F5" s="3" t="s">
        <v>1611</v>
      </c>
      <c r="G5" s="3" t="s">
        <v>1561</v>
      </c>
      <c r="H5" s="3" t="s">
        <v>1612</v>
      </c>
    </row>
    <row r="6" customFormat="false" ht="15" hidden="false" customHeight="false" outlineLevel="0" collapsed="false">
      <c r="A6" s="3" t="s">
        <v>1259</v>
      </c>
      <c r="B6" s="3" t="s">
        <v>1260</v>
      </c>
      <c r="C6" s="3" t="n">
        <v>221025</v>
      </c>
      <c r="D6" s="3" t="s">
        <v>1264</v>
      </c>
      <c r="F6" s="3" t="s">
        <v>1613</v>
      </c>
      <c r="G6" s="3" t="s">
        <v>1561</v>
      </c>
      <c r="H6" s="3" t="s">
        <v>1612</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2024-11-28T17:40:54Z</dcterms:modified>
  <cp:revision>1</cp:revision>
  <dc:subject/>
  <dc:title/>
</cp:coreProperties>
</file>