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физика лаба 5.12\"/>
    </mc:Choice>
  </mc:AlternateContent>
  <xr:revisionPtr revIDLastSave="0" documentId="13_ncr:1_{F32DC6F0-5887-4056-A08D-742686D9A340}" xr6:coauthVersionLast="47" xr6:coauthVersionMax="47" xr10:uidLastSave="{00000000-0000-0000-0000-000000000000}"/>
  <bookViews>
    <workbookView xWindow="20730" yWindow="2070" windowWidth="15405" windowHeight="97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H3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G32" i="1"/>
  <c r="K4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6" i="1"/>
  <c r="C26" i="1"/>
  <c r="E26" i="1" s="1"/>
  <c r="G26" i="1" s="1"/>
  <c r="H26" i="1" s="1"/>
  <c r="B26" i="1"/>
  <c r="D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B4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O7" i="1"/>
  <c r="K7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<sst xmlns="http://schemas.openxmlformats.org/spreadsheetml/2006/main" count="25" uniqueCount="24">
  <si>
    <t>I, A</t>
  </si>
  <si>
    <t>Uтэ, мВ</t>
  </si>
  <si>
    <t>R, Ом</t>
  </si>
  <si>
    <t>Uл, В</t>
  </si>
  <si>
    <t>Т, К</t>
  </si>
  <si>
    <t>ln T</t>
  </si>
  <si>
    <t>ln Uтэ</t>
  </si>
  <si>
    <t>R0, Ом</t>
  </si>
  <si>
    <t>t0, гр.C</t>
  </si>
  <si>
    <t>T0, К</t>
  </si>
  <si>
    <t>Положение держателя теплоэлемента, см</t>
  </si>
  <si>
    <t>d, температурный коэффициент</t>
  </si>
  <si>
    <t>y-cp</t>
  </si>
  <si>
    <t>x-cp</t>
  </si>
  <si>
    <t>X^2</t>
  </si>
  <si>
    <t>x*y</t>
  </si>
  <si>
    <t>a</t>
  </si>
  <si>
    <t>b</t>
  </si>
  <si>
    <t>n</t>
  </si>
  <si>
    <t>D</t>
  </si>
  <si>
    <t>x</t>
  </si>
  <si>
    <t>y</t>
  </si>
  <si>
    <t>Sy</t>
  </si>
  <si>
    <t>Sa - погрешность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</si>
</sst>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ln(U</a:t>
            </a:r>
            <a:r>
              <a:rPr lang="ru-RU"/>
              <a:t>тэ</a:t>
            </a:r>
            <a:r>
              <a:rPr lang="en-US"/>
              <a:t>)</a:t>
            </a:r>
            <a:r>
              <a:rPr lang="ru-RU"/>
              <a:t> = </a:t>
            </a:r>
            <a:r>
              <a:rPr lang="en-US"/>
              <a:t>ln(b) + n * ln(T)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7171296296296298"/>
          <c:w val="0.82183573928258968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Лист1!$G$5:$G$23</c:f>
              <c:numCache>
                <c:formatCode>General</c:formatCode>
                <c:ptCount val="19"/>
                <c:pt idx="0">
                  <c:v>6.441241230442297</c:v>
                </c:pt>
                <c:pt idx="1">
                  <c:v>6.5398767796510784</c:v>
                </c:pt>
                <c:pt idx="2">
                  <c:v>6.6416008391946937</c:v>
                </c:pt>
                <c:pt idx="3">
                  <c:v>6.7131367707518441</c:v>
                </c:pt>
                <c:pt idx="4">
                  <c:v>6.7733758015685623</c:v>
                </c:pt>
                <c:pt idx="5">
                  <c:v>6.8315779368909757</c:v>
                </c:pt>
                <c:pt idx="6">
                  <c:v>6.8772806796967814</c:v>
                </c:pt>
                <c:pt idx="7">
                  <c:v>6.9261537177123005</c:v>
                </c:pt>
                <c:pt idx="8">
                  <c:v>6.9663081000289466</c:v>
                </c:pt>
                <c:pt idx="9">
                  <c:v>6.9985545601196044</c:v>
                </c:pt>
                <c:pt idx="10">
                  <c:v>7.0329059322244714</c:v>
                </c:pt>
                <c:pt idx="11">
                  <c:v>7.0637970154729901</c:v>
                </c:pt>
                <c:pt idx="12">
                  <c:v>7.0917383429304977</c:v>
                </c:pt>
                <c:pt idx="13">
                  <c:v>7.1245214026797949</c:v>
                </c:pt>
                <c:pt idx="14">
                  <c:v>7.1464235817214421</c:v>
                </c:pt>
                <c:pt idx="15">
                  <c:v>7.1734592825095485</c:v>
                </c:pt>
                <c:pt idx="16">
                  <c:v>7.1985073230601371</c:v>
                </c:pt>
                <c:pt idx="17">
                  <c:v>7.2217861934675218</c:v>
                </c:pt>
                <c:pt idx="18">
                  <c:v>7.2379437700668072</c:v>
                </c:pt>
              </c:numCache>
            </c:numRef>
          </c:xVal>
          <c:yVal>
            <c:numRef>
              <c:f>Лист1!$H$5:$H$23</c:f>
              <c:numCache>
                <c:formatCode>General</c:formatCode>
                <c:ptCount val="19"/>
                <c:pt idx="0">
                  <c:v>0.91629073187415511</c:v>
                </c:pt>
                <c:pt idx="1">
                  <c:v>1.2527629684953681</c:v>
                </c:pt>
                <c:pt idx="2">
                  <c:v>1.589235205116581</c:v>
                </c:pt>
                <c:pt idx="3">
                  <c:v>1.9021075263969205</c:v>
                </c:pt>
                <c:pt idx="4">
                  <c:v>2.1041341542702074</c:v>
                </c:pt>
                <c:pt idx="5">
                  <c:v>2.388762789235098</c:v>
                </c:pt>
                <c:pt idx="6">
                  <c:v>2.6173958328340792</c:v>
                </c:pt>
                <c:pt idx="7">
                  <c:v>2.8390784635086144</c:v>
                </c:pt>
                <c:pt idx="8">
                  <c:v>2.954910279033736</c:v>
                </c:pt>
                <c:pt idx="9">
                  <c:v>3.1090609588609941</c:v>
                </c:pt>
                <c:pt idx="10">
                  <c:v>3.3141860046725258</c:v>
                </c:pt>
                <c:pt idx="11">
                  <c:v>3.3978584803966405</c:v>
                </c:pt>
                <c:pt idx="12">
                  <c:v>3.5025498759224432</c:v>
                </c:pt>
                <c:pt idx="13">
                  <c:v>3.6216707044204863</c:v>
                </c:pt>
                <c:pt idx="14">
                  <c:v>3.735285826928092</c:v>
                </c:pt>
                <c:pt idx="15">
                  <c:v>3.8199077165203406</c:v>
                </c:pt>
                <c:pt idx="16">
                  <c:v>3.9337844972096589</c:v>
                </c:pt>
                <c:pt idx="17">
                  <c:v>4.0448041166619646</c:v>
                </c:pt>
                <c:pt idx="18">
                  <c:v>4.1108738641733114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9-4CB4-AC95-6078BCF4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542655"/>
        <c:axId val="1364543071"/>
      </c:scatterChart>
      <c:valAx>
        <c:axId val="13645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543071"/>
        <c:crosses val="autoZero"/>
        <c:crossBetween val="midCat"/>
      </c:valAx>
      <c:valAx>
        <c:axId val="1364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</a:t>
                </a:r>
                <a:r>
                  <a:rPr lang="ru-RU"/>
                  <a:t>тэ</a:t>
                </a:r>
                <a:r>
                  <a:rPr lang="en-US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54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422412</xdr:colOff>
      <xdr:row>9</xdr:row>
      <xdr:rowOff>19878</xdr:rowOff>
    </xdr:from>
    <xdr:to>
      <xdr:col>20</xdr:col>
      <xdr:colOff>91108</xdr:colOff>
      <xdr:row>23</xdr:row>
      <xdr:rowOff>96078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F7188C-0EDB-4F3C-8D7B-14A6A17E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44"/>
  <sheetViews>
    <sheetView tabSelected="1" topLeftCell="A7" zoomScale="115" zoomScaleNormal="115" workbookViewId="0">
      <selection activeCell="L15" sqref="L15"/>
    </sheetView>
  </sheetViews>
  <sheetFormatPr defaultRowHeight="15" x14ac:dyDescent="0.25"/>
  <sheetData>
    <row r="3" spans="2:15" x14ac:dyDescent="0.25">
      <c r="K3" t="s">
        <v>7</v>
      </c>
      <c r="L3" t="s">
        <v>8</v>
      </c>
      <c r="M3" t="s">
        <v>9</v>
      </c>
      <c r="N3" t="s">
        <v>10</v>
      </c>
    </row>
    <row r="4" spans="2:15" x14ac:dyDescent="0.25">
      <c r="B4" t="s">
        <v>3</v>
      </c>
      <c r="C4" t="s">
        <v>0</v>
      </c>
      <c r="D4" t="s">
        <v>1</v>
      </c>
      <c r="E4" t="s">
        <v>2</v>
      </c>
      <c r="F4" t="s">
        <v>4</v>
      </c>
      <c r="G4" t="s">
        <v>5</v>
      </c>
      <c r="H4" t="s">
        <v>6</v>
      </c>
      <c r="K4">
        <v>1.1000000000000001</v>
      </c>
      <c r="L4">
        <v>24</v>
      </c>
      <c r="M4">
        <v>297</v>
      </c>
      <c r="N4">
        <v>8</v>
      </c>
    </row>
    <row r="5" spans="2:15" x14ac:dyDescent="0.25">
      <c r="B5">
        <v>2.0499999999999998</v>
      </c>
      <c r="C5">
        <v>0.76</v>
      </c>
      <c r="D5">
        <v>2.5</v>
      </c>
      <c r="E5">
        <f t="shared" ref="E5:E22" si="0">B5/C5</f>
        <v>2.6973684210526314</v>
      </c>
      <c r="F5">
        <f t="shared" ref="F5:F23" si="1">(E5 - $K$4 ) / ($K$7 * $K$4)  + $O$7</f>
        <v>627.18479773814693</v>
      </c>
      <c r="G5">
        <f t="shared" ref="G5:G23" si="2">LN(F5)</f>
        <v>6.441241230442297</v>
      </c>
      <c r="H5">
        <f t="shared" ref="H5:H23" si="3">LN(D5)</f>
        <v>0.91629073187415511</v>
      </c>
      <c r="J5">
        <f>H5  - $H$26 - $G$26 * G5</f>
        <v>9.3840687998923755E-2</v>
      </c>
    </row>
    <row r="6" spans="2:15" x14ac:dyDescent="0.25">
      <c r="B6">
        <v>2.5</v>
      </c>
      <c r="C6">
        <v>0.83</v>
      </c>
      <c r="D6">
        <v>3.5</v>
      </c>
      <c r="E6">
        <f t="shared" si="0"/>
        <v>3.0120481927710845</v>
      </c>
      <c r="F6">
        <f t="shared" si="1"/>
        <v>692.20127949815787</v>
      </c>
      <c r="G6">
        <f t="shared" si="2"/>
        <v>6.5398767796510784</v>
      </c>
      <c r="H6">
        <f t="shared" si="3"/>
        <v>1.2527629684953681</v>
      </c>
      <c r="J6">
        <f t="shared" ref="J6:J23" si="4">H6  - $H$26 - $G$26 * G6</f>
        <v>2.4881236517813932E-2</v>
      </c>
      <c r="K6" t="s">
        <v>11</v>
      </c>
      <c r="O6" t="s">
        <v>9</v>
      </c>
    </row>
    <row r="7" spans="2:15" x14ac:dyDescent="0.25">
      <c r="B7">
        <v>3</v>
      </c>
      <c r="C7">
        <v>0.89</v>
      </c>
      <c r="D7">
        <v>4.9000000000000004</v>
      </c>
      <c r="E7">
        <f t="shared" si="0"/>
        <v>3.3707865168539324</v>
      </c>
      <c r="F7">
        <f t="shared" si="1"/>
        <v>766.32076794502723</v>
      </c>
      <c r="G7">
        <f t="shared" si="2"/>
        <v>6.6416008391946937</v>
      </c>
      <c r="H7">
        <f t="shared" si="3"/>
        <v>1.589235205116581</v>
      </c>
      <c r="J7">
        <f t="shared" si="4"/>
        <v>-5.6773231808818991E-2</v>
      </c>
      <c r="K7">
        <f xml:space="preserve"> 4.4 * 10 ^(-3)</f>
        <v>4.4000000000000003E-3</v>
      </c>
      <c r="O7">
        <f>$L$4 + 273.15</f>
        <v>297.14999999999998</v>
      </c>
    </row>
    <row r="8" spans="2:15" x14ac:dyDescent="0.25">
      <c r="B8">
        <v>3.5</v>
      </c>
      <c r="C8">
        <v>0.96</v>
      </c>
      <c r="D8">
        <v>6.7</v>
      </c>
      <c r="E8">
        <f t="shared" si="0"/>
        <v>3.6458333333333335</v>
      </c>
      <c r="F8">
        <f t="shared" si="1"/>
        <v>823.14862258953156</v>
      </c>
      <c r="G8">
        <f t="shared" si="2"/>
        <v>6.7131367707518441</v>
      </c>
      <c r="H8">
        <f t="shared" si="3"/>
        <v>1.9021075263969205</v>
      </c>
      <c r="J8">
        <f t="shared" si="4"/>
        <v>-3.7942295443336604E-2</v>
      </c>
    </row>
    <row r="9" spans="2:15" x14ac:dyDescent="0.25">
      <c r="B9">
        <v>4.01</v>
      </c>
      <c r="C9">
        <v>1.03</v>
      </c>
      <c r="D9">
        <v>8.1999999999999993</v>
      </c>
      <c r="E9">
        <f t="shared" si="0"/>
        <v>3.8932038834951452</v>
      </c>
      <c r="F9">
        <f t="shared" si="1"/>
        <v>874.25824039155884</v>
      </c>
      <c r="G9">
        <f t="shared" si="2"/>
        <v>6.7733758015685623</v>
      </c>
      <c r="H9">
        <f t="shared" si="3"/>
        <v>2.1041341542702074</v>
      </c>
      <c r="J9">
        <f t="shared" si="4"/>
        <v>-8.3522257177758519E-2</v>
      </c>
    </row>
    <row r="10" spans="2:15" x14ac:dyDescent="0.25">
      <c r="B10">
        <v>4.5199999999999996</v>
      </c>
      <c r="C10">
        <v>1.0900000000000001</v>
      </c>
      <c r="D10">
        <v>10.9</v>
      </c>
      <c r="E10">
        <f t="shared" si="0"/>
        <v>4.1467889908256872</v>
      </c>
      <c r="F10">
        <f t="shared" si="1"/>
        <v>926.651857608613</v>
      </c>
      <c r="G10">
        <f t="shared" si="2"/>
        <v>6.8315779368909757</v>
      </c>
      <c r="H10">
        <f t="shared" si="3"/>
        <v>2.388762789235098</v>
      </c>
      <c r="J10">
        <f t="shared" si="4"/>
        <v>-3.8127753965696343E-2</v>
      </c>
    </row>
    <row r="11" spans="2:15" x14ac:dyDescent="0.25">
      <c r="B11">
        <v>5.01</v>
      </c>
      <c r="C11">
        <v>1.1499999999999999</v>
      </c>
      <c r="D11">
        <v>13.7</v>
      </c>
      <c r="E11">
        <f t="shared" si="0"/>
        <v>4.3565217391304349</v>
      </c>
      <c r="F11">
        <f t="shared" si="1"/>
        <v>969.98507006827151</v>
      </c>
      <c r="G11">
        <f t="shared" si="2"/>
        <v>6.8772806796967814</v>
      </c>
      <c r="H11">
        <f t="shared" si="3"/>
        <v>2.6173958328340792</v>
      </c>
      <c r="J11">
        <f t="shared" si="4"/>
        <v>2.6486769282350053E-3</v>
      </c>
    </row>
    <row r="12" spans="2:15" x14ac:dyDescent="0.25">
      <c r="B12">
        <v>5.51</v>
      </c>
      <c r="C12">
        <v>1.2</v>
      </c>
      <c r="D12">
        <v>17.100000000000001</v>
      </c>
      <c r="E12">
        <f t="shared" si="0"/>
        <v>4.5916666666666668</v>
      </c>
      <c r="F12">
        <f t="shared" si="1"/>
        <v>1018.568732782369</v>
      </c>
      <c r="G12">
        <f t="shared" si="2"/>
        <v>6.9261537177123005</v>
      </c>
      <c r="H12">
        <f t="shared" si="3"/>
        <v>2.8390784635086144</v>
      </c>
      <c r="J12">
        <f t="shared" si="4"/>
        <v>2.3443509397484519E-2</v>
      </c>
    </row>
    <row r="13" spans="2:15" x14ac:dyDescent="0.25">
      <c r="B13">
        <v>6.04</v>
      </c>
      <c r="C13">
        <v>1.26</v>
      </c>
      <c r="D13">
        <v>19.2</v>
      </c>
      <c r="E13">
        <f t="shared" si="0"/>
        <v>4.7936507936507935</v>
      </c>
      <c r="F13">
        <f t="shared" si="1"/>
        <v>1060.3009904237174</v>
      </c>
      <c r="G13">
        <f t="shared" si="2"/>
        <v>6.9663081000289466</v>
      </c>
      <c r="H13">
        <f t="shared" si="3"/>
        <v>2.954910279033736</v>
      </c>
      <c r="J13">
        <f t="shared" si="4"/>
        <v>-2.5775299704466903E-2</v>
      </c>
    </row>
    <row r="14" spans="2:15" x14ac:dyDescent="0.25">
      <c r="B14">
        <v>6.5</v>
      </c>
      <c r="C14">
        <v>1.31</v>
      </c>
      <c r="D14">
        <v>22.4</v>
      </c>
      <c r="E14">
        <f t="shared" si="0"/>
        <v>4.9618320610687023</v>
      </c>
      <c r="F14">
        <f t="shared" si="1"/>
        <v>1095.0491861712194</v>
      </c>
      <c r="G14">
        <f t="shared" si="2"/>
        <v>6.9985545601196044</v>
      </c>
      <c r="H14">
        <f t="shared" si="3"/>
        <v>3.1090609588609941</v>
      </c>
      <c r="J14">
        <f t="shared" si="4"/>
        <v>-4.1705108338909724E-3</v>
      </c>
    </row>
    <row r="15" spans="2:15" x14ac:dyDescent="0.25">
      <c r="B15">
        <v>7</v>
      </c>
      <c r="C15">
        <v>1.36</v>
      </c>
      <c r="D15">
        <v>27.5</v>
      </c>
      <c r="E15">
        <f t="shared" si="0"/>
        <v>5.1470588235294112</v>
      </c>
      <c r="F15">
        <f t="shared" si="1"/>
        <v>1133.3191784151677</v>
      </c>
      <c r="G15">
        <f t="shared" si="2"/>
        <v>7.0329059322244714</v>
      </c>
      <c r="H15">
        <f t="shared" si="3"/>
        <v>3.3141860046725258</v>
      </c>
      <c r="J15">
        <f t="shared" si="4"/>
        <v>5.9756610975334468E-2</v>
      </c>
    </row>
    <row r="16" spans="2:15" x14ac:dyDescent="0.25">
      <c r="B16">
        <v>7.5</v>
      </c>
      <c r="C16">
        <v>1.41</v>
      </c>
      <c r="D16">
        <v>29.9</v>
      </c>
      <c r="E16">
        <f t="shared" si="0"/>
        <v>5.3191489361702127</v>
      </c>
      <c r="F16">
        <f t="shared" si="1"/>
        <v>1168.8749868120271</v>
      </c>
      <c r="G16">
        <f t="shared" si="2"/>
        <v>7.0637970154729901</v>
      </c>
      <c r="H16">
        <f t="shared" si="3"/>
        <v>3.3978584803966405</v>
      </c>
      <c r="J16">
        <f t="shared" si="4"/>
        <v>1.6454338454813922E-2</v>
      </c>
    </row>
    <row r="17" spans="2:11" x14ac:dyDescent="0.25">
      <c r="B17">
        <v>8</v>
      </c>
      <c r="C17">
        <v>1.46</v>
      </c>
      <c r="D17">
        <v>33.200000000000003</v>
      </c>
      <c r="E17">
        <f t="shared" si="0"/>
        <v>5.4794520547945202</v>
      </c>
      <c r="F17">
        <f t="shared" si="1"/>
        <v>1201.9954658666361</v>
      </c>
      <c r="G17">
        <f t="shared" si="2"/>
        <v>7.0917383429304977</v>
      </c>
      <c r="H17">
        <f t="shared" si="3"/>
        <v>3.5025498759224432</v>
      </c>
      <c r="J17">
        <f t="shared" si="4"/>
        <v>6.2956657264408022E-3</v>
      </c>
    </row>
    <row r="18" spans="2:11" x14ac:dyDescent="0.25">
      <c r="B18">
        <v>8.51</v>
      </c>
      <c r="C18">
        <v>1.5</v>
      </c>
      <c r="D18">
        <v>37.4</v>
      </c>
      <c r="E18">
        <f t="shared" si="0"/>
        <v>5.6733333333333329</v>
      </c>
      <c r="F18">
        <f t="shared" si="1"/>
        <v>1242.0535812672174</v>
      </c>
      <c r="G18">
        <f t="shared" si="2"/>
        <v>7.1245214026797949</v>
      </c>
      <c r="H18">
        <f t="shared" si="3"/>
        <v>3.6216707044204863</v>
      </c>
      <c r="J18">
        <f t="shared" si="4"/>
        <v>-9.3350366579940669E-3</v>
      </c>
    </row>
    <row r="19" spans="2:11" x14ac:dyDescent="0.25">
      <c r="B19">
        <v>9</v>
      </c>
      <c r="C19">
        <v>1.55</v>
      </c>
      <c r="D19">
        <v>41.9</v>
      </c>
      <c r="E19">
        <f t="shared" si="0"/>
        <v>5.806451612903226</v>
      </c>
      <c r="F19">
        <f t="shared" si="1"/>
        <v>1269.5573580378566</v>
      </c>
      <c r="G19">
        <f t="shared" si="2"/>
        <v>7.1464235817214421</v>
      </c>
      <c r="H19">
        <f t="shared" si="3"/>
        <v>3.735285826928092</v>
      </c>
      <c r="J19">
        <f t="shared" si="4"/>
        <v>1.4253340997427699E-2</v>
      </c>
    </row>
    <row r="20" spans="2:11" x14ac:dyDescent="0.25">
      <c r="B20">
        <v>9.5</v>
      </c>
      <c r="C20">
        <v>1.59</v>
      </c>
      <c r="D20">
        <v>45.6</v>
      </c>
      <c r="E20">
        <f t="shared" si="0"/>
        <v>5.9748427672955975</v>
      </c>
      <c r="F20">
        <f t="shared" si="1"/>
        <v>1304.3489188627264</v>
      </c>
      <c r="G20">
        <f t="shared" si="2"/>
        <v>7.1734592825095485</v>
      </c>
      <c r="H20">
        <f t="shared" si="3"/>
        <v>3.8199077165203406</v>
      </c>
      <c r="J20">
        <f t="shared" si="4"/>
        <v>-1.2252348639897548E-2</v>
      </c>
    </row>
    <row r="21" spans="2:11" x14ac:dyDescent="0.25">
      <c r="B21">
        <v>10</v>
      </c>
      <c r="C21">
        <v>1.63</v>
      </c>
      <c r="D21">
        <v>51.1</v>
      </c>
      <c r="E21">
        <f t="shared" si="0"/>
        <v>6.1349693251533743</v>
      </c>
      <c r="F21">
        <f t="shared" si="1"/>
        <v>1337.4329184201188</v>
      </c>
      <c r="G21">
        <f t="shared" si="2"/>
        <v>7.1985073230601371</v>
      </c>
      <c r="H21">
        <f t="shared" si="3"/>
        <v>3.9337844972096589</v>
      </c>
      <c r="J21">
        <f t="shared" si="4"/>
        <v>-1.3330659879748907E-3</v>
      </c>
    </row>
    <row r="22" spans="2:11" x14ac:dyDescent="0.25">
      <c r="B22">
        <v>10.5</v>
      </c>
      <c r="C22">
        <v>1.67</v>
      </c>
      <c r="D22">
        <v>57.1</v>
      </c>
      <c r="E22">
        <f t="shared" si="0"/>
        <v>6.2874251497005993</v>
      </c>
      <c r="F22">
        <f t="shared" si="1"/>
        <v>1368.9320557232641</v>
      </c>
      <c r="G22">
        <f t="shared" si="2"/>
        <v>7.2217861934675218</v>
      </c>
      <c r="H22">
        <f t="shared" si="3"/>
        <v>4.0448041166619646</v>
      </c>
      <c r="J22">
        <f t="shared" si="4"/>
        <v>1.4001054654933398E-2</v>
      </c>
    </row>
    <row r="23" spans="2:11" x14ac:dyDescent="0.25">
      <c r="B23">
        <v>11</v>
      </c>
      <c r="C23">
        <v>1.72</v>
      </c>
      <c r="D23">
        <v>61</v>
      </c>
      <c r="E23">
        <f>B23/C23</f>
        <v>6.3953488372093021</v>
      </c>
      <c r="F23">
        <f t="shared" si="1"/>
        <v>1391.2303382663845</v>
      </c>
      <c r="G23">
        <f t="shared" si="2"/>
        <v>7.2379437700668072</v>
      </c>
      <c r="H23">
        <f t="shared" si="3"/>
        <v>4.1108738641733114</v>
      </c>
      <c r="J23">
        <f t="shared" si="4"/>
        <v>1.3656678568459313E-2</v>
      </c>
    </row>
    <row r="25" spans="2:11" x14ac:dyDescent="0.25">
      <c r="B25" t="s">
        <v>13</v>
      </c>
      <c r="C25" t="s">
        <v>12</v>
      </c>
      <c r="D25" t="s">
        <v>14</v>
      </c>
      <c r="E25" t="s">
        <v>15</v>
      </c>
      <c r="G25" t="s">
        <v>16</v>
      </c>
      <c r="H25" t="s">
        <v>17</v>
      </c>
      <c r="J25" t="s">
        <v>20</v>
      </c>
      <c r="K25" t="s">
        <v>21</v>
      </c>
    </row>
    <row r="26" spans="2:11" x14ac:dyDescent="0.25">
      <c r="B26">
        <f>G5 - AVERAGE($G$5:$G$23)</f>
        <v>-0.50613715167298157</v>
      </c>
      <c r="C26">
        <f>H5 - AVERAGE($H$5:$H$23)</f>
        <v>-1.9865861100485405</v>
      </c>
      <c r="D26">
        <f>B26^2</f>
        <v>0.25617481630363875</v>
      </c>
      <c r="E26">
        <f>B26 * C26</f>
        <v>1.0054850352930766</v>
      </c>
      <c r="G26">
        <f>SUM(E26:E44) / SUM(D26:D44)</f>
        <v>4.110401283863153</v>
      </c>
      <c r="H26">
        <f>AVERAGE(H5:H23) - $G$26 * AVERAGE(G5:G23)</f>
        <v>-25.653636179407062</v>
      </c>
      <c r="J26">
        <v>6.441241230442297</v>
      </c>
      <c r="K26">
        <f>J26*$G$26+$H$26</f>
        <v>0.82245004387523224</v>
      </c>
    </row>
    <row r="27" spans="2:11" x14ac:dyDescent="0.25">
      <c r="B27">
        <f>G6 - AVERAGE($G$5:$G$23)</f>
        <v>-0.4075016024642002</v>
      </c>
      <c r="C27">
        <f t="shared" ref="C27:C44" si="5">H6 - AVERAGE($H$5:$H$23)</f>
        <v>-1.6501138734273275</v>
      </c>
      <c r="D27">
        <f t="shared" ref="D27:D44" si="6">B27^2</f>
        <v>0.16605755601089106</v>
      </c>
      <c r="E27">
        <f t="shared" ref="E27:E44" si="7">B27 * C27</f>
        <v>0.67242404767004438</v>
      </c>
      <c r="J27">
        <v>6.5398767796510784</v>
      </c>
      <c r="K27">
        <f t="shared" ref="K27:K43" si="8">J27*$G$26+$H$26</f>
        <v>1.2278817319775541</v>
      </c>
    </row>
    <row r="28" spans="2:11" x14ac:dyDescent="0.25">
      <c r="B28">
        <f t="shared" ref="B28:B43" si="9">G7 - AVERAGE($G$5:$G$23)</f>
        <v>-0.3057775429205849</v>
      </c>
      <c r="C28">
        <f t="shared" si="5"/>
        <v>-1.3136416368061146</v>
      </c>
      <c r="D28">
        <f t="shared" si="6"/>
        <v>9.3499905754550139E-2</v>
      </c>
      <c r="E28">
        <f t="shared" si="7"/>
        <v>0.4016821119807491</v>
      </c>
      <c r="G28" t="s">
        <v>18</v>
      </c>
      <c r="J28">
        <v>6.6416008391946937</v>
      </c>
      <c r="K28">
        <f t="shared" si="8"/>
        <v>1.6460084369253991</v>
      </c>
    </row>
    <row r="29" spans="2:11" x14ac:dyDescent="0.25">
      <c r="B29">
        <f t="shared" si="9"/>
        <v>-0.23424161136343447</v>
      </c>
      <c r="C29">
        <f t="shared" si="5"/>
        <v>-1.0007693155257751</v>
      </c>
      <c r="D29">
        <f t="shared" si="6"/>
        <v>5.4869132494138273E-2</v>
      </c>
      <c r="E29">
        <f t="shared" si="7"/>
        <v>0.23442181707183893</v>
      </c>
      <c r="G29">
        <v>19</v>
      </c>
      <c r="J29">
        <v>6.7131367707518441</v>
      </c>
      <c r="K29">
        <f t="shared" si="8"/>
        <v>1.9400498218402582</v>
      </c>
    </row>
    <row r="30" spans="2:11" x14ac:dyDescent="0.25">
      <c r="B30">
        <f t="shared" si="9"/>
        <v>-0.17400258054671625</v>
      </c>
      <c r="C30">
        <f t="shared" si="5"/>
        <v>-0.79874268765248813</v>
      </c>
      <c r="D30">
        <f t="shared" si="6"/>
        <v>3.0276898036916473E-2</v>
      </c>
      <c r="E30">
        <f t="shared" si="7"/>
        <v>0.13898328884435268</v>
      </c>
      <c r="J30">
        <v>6.7733758015685623</v>
      </c>
      <c r="K30">
        <f t="shared" si="8"/>
        <v>2.1876564114479677</v>
      </c>
    </row>
    <row r="31" spans="2:11" x14ac:dyDescent="0.25">
      <c r="B31">
        <f t="shared" si="9"/>
        <v>-0.11580044522430288</v>
      </c>
      <c r="C31">
        <f t="shared" si="5"/>
        <v>-0.51411405268759758</v>
      </c>
      <c r="D31">
        <f t="shared" si="6"/>
        <v>1.3409743114146772E-2</v>
      </c>
      <c r="E31">
        <f t="shared" si="7"/>
        <v>5.9534636197294509E-2</v>
      </c>
      <c r="G31" t="s">
        <v>19</v>
      </c>
      <c r="H31" t="s">
        <v>22</v>
      </c>
      <c r="J31">
        <v>6.8315779368909757</v>
      </c>
      <c r="K31">
        <f t="shared" si="8"/>
        <v>2.4268905432007948</v>
      </c>
    </row>
    <row r="32" spans="2:11" x14ac:dyDescent="0.25">
      <c r="B32">
        <f t="shared" si="9"/>
        <v>-7.0097702418497221E-2</v>
      </c>
      <c r="C32">
        <f t="shared" si="5"/>
        <v>-0.2854810090886164</v>
      </c>
      <c r="D32">
        <f t="shared" si="6"/>
        <v>4.9136878843521912E-3</v>
      </c>
      <c r="E32">
        <f t="shared" si="7"/>
        <v>2.0011562821226132E-2</v>
      </c>
      <c r="G32">
        <f>$G$29 * SUMSQ(J26:J44) - SUM(J26:J44)^2</f>
        <v>19.175606949585926</v>
      </c>
      <c r="H32">
        <f>SUMSQ( J5:J23) / ($G$29 - 2)</f>
        <v>1.6742352694654652E-3</v>
      </c>
      <c r="J32">
        <v>6.8772806796967814</v>
      </c>
      <c r="K32">
        <f t="shared" si="8"/>
        <v>2.6147471559058459</v>
      </c>
    </row>
    <row r="33" spans="2:11" x14ac:dyDescent="0.25">
      <c r="B33">
        <f t="shared" si="9"/>
        <v>-2.12246644029781E-2</v>
      </c>
      <c r="C33">
        <f t="shared" si="5"/>
        <v>-6.3798378414081203E-2</v>
      </c>
      <c r="D33">
        <f t="shared" si="6"/>
        <v>4.5048637901904569E-4</v>
      </c>
      <c r="E33">
        <f t="shared" si="7"/>
        <v>1.3540991712930757E-3</v>
      </c>
      <c r="J33">
        <v>6.9261537177123005</v>
      </c>
      <c r="K33">
        <f t="shared" si="8"/>
        <v>2.815634954111129</v>
      </c>
    </row>
    <row r="34" spans="2:11" x14ac:dyDescent="0.25">
      <c r="B34">
        <f t="shared" si="9"/>
        <v>1.8929717913668043E-2</v>
      </c>
      <c r="C34">
        <f t="shared" si="5"/>
        <v>5.203343711104047E-2</v>
      </c>
      <c r="D34">
        <f t="shared" si="6"/>
        <v>3.5833422029104482E-4</v>
      </c>
      <c r="E34">
        <f t="shared" si="7"/>
        <v>9.8497828659058228E-4</v>
      </c>
      <c r="J34">
        <v>6.9663081000289466</v>
      </c>
      <c r="K34">
        <f t="shared" si="8"/>
        <v>2.9806855787382034</v>
      </c>
    </row>
    <row r="35" spans="2:11" x14ac:dyDescent="0.25">
      <c r="B35">
        <f t="shared" si="9"/>
        <v>5.1176178004325834E-2</v>
      </c>
      <c r="C35">
        <f t="shared" si="5"/>
        <v>0.20618411693829852</v>
      </c>
      <c r="D35">
        <f t="shared" si="6"/>
        <v>2.6190011951304432E-3</v>
      </c>
      <c r="E35">
        <f t="shared" si="7"/>
        <v>1.0551715070099098E-2</v>
      </c>
      <c r="G35" t="s">
        <v>23</v>
      </c>
      <c r="J35">
        <v>6.9985545601196044</v>
      </c>
      <c r="K35">
        <f t="shared" si="8"/>
        <v>3.1132314696948846</v>
      </c>
    </row>
    <row r="36" spans="2:11" x14ac:dyDescent="0.25">
      <c r="B36">
        <f t="shared" si="9"/>
        <v>8.5527550109192774E-2</v>
      </c>
      <c r="C36">
        <f t="shared" si="5"/>
        <v>0.4113091627498302</v>
      </c>
      <c r="D36">
        <f t="shared" si="6"/>
        <v>7.3149618276804806E-3</v>
      </c>
      <c r="E36">
        <f t="shared" si="7"/>
        <v>3.5178265027456232E-2</v>
      </c>
      <c r="G36">
        <f xml:space="preserve"> (1 / ($G$29 - 2) * (SUMSQ(C26:C44)  / SUMSQ(B26:B44)  - $G$26^2)) ^ 0.5</f>
        <v>4.0729631810283128E-2</v>
      </c>
      <c r="J36">
        <v>7.0329059322244714</v>
      </c>
      <c r="K36">
        <f t="shared" si="8"/>
        <v>3.2544293936971904</v>
      </c>
    </row>
    <row r="37" spans="2:11" x14ac:dyDescent="0.25">
      <c r="B37">
        <f t="shared" si="9"/>
        <v>0.11641863335771152</v>
      </c>
      <c r="C37">
        <f t="shared" si="5"/>
        <v>0.49498163847394494</v>
      </c>
      <c r="D37">
        <f t="shared" si="6"/>
        <v>1.3553298192877261E-2</v>
      </c>
      <c r="E37">
        <f t="shared" si="7"/>
        <v>5.7625085888297511E-2</v>
      </c>
      <c r="J37">
        <v>7.0637970154729901</v>
      </c>
      <c r="K37">
        <f t="shared" si="8"/>
        <v>3.3814041419418253</v>
      </c>
    </row>
    <row r="38" spans="2:11" x14ac:dyDescent="0.25">
      <c r="B38">
        <f t="shared" si="9"/>
        <v>0.14435996081521907</v>
      </c>
      <c r="C38">
        <f t="shared" si="5"/>
        <v>0.59967303399974758</v>
      </c>
      <c r="D38">
        <f t="shared" si="6"/>
        <v>2.0839798286571586E-2</v>
      </c>
      <c r="E38">
        <f t="shared" si="7"/>
        <v>8.6568775690147093E-2</v>
      </c>
      <c r="J38">
        <v>7.0917383429304977</v>
      </c>
      <c r="K38">
        <f t="shared" si="8"/>
        <v>3.4962542101960032</v>
      </c>
    </row>
    <row r="39" spans="2:11" x14ac:dyDescent="0.25">
      <c r="B39">
        <f t="shared" si="9"/>
        <v>0.17714302056451636</v>
      </c>
      <c r="C39">
        <f t="shared" si="5"/>
        <v>0.71879386249779076</v>
      </c>
      <c r="D39">
        <f t="shared" si="6"/>
        <v>3.1379649734720669E-2</v>
      </c>
      <c r="E39">
        <f t="shared" si="7"/>
        <v>0.12732931596609429</v>
      </c>
      <c r="J39">
        <v>7.1245214026797949</v>
      </c>
      <c r="K39">
        <f t="shared" si="8"/>
        <v>3.6310057410784786</v>
      </c>
    </row>
    <row r="40" spans="2:11" x14ac:dyDescent="0.25">
      <c r="B40">
        <f t="shared" si="9"/>
        <v>0.19904519960616351</v>
      </c>
      <c r="C40">
        <f t="shared" si="5"/>
        <v>0.8324089850053964</v>
      </c>
      <c r="D40">
        <f t="shared" si="6"/>
        <v>3.9618991486257478E-2</v>
      </c>
      <c r="E40">
        <f t="shared" si="7"/>
        <v>0.16568701257436311</v>
      </c>
      <c r="J40">
        <v>7.1464235817214421</v>
      </c>
      <c r="K40">
        <f t="shared" si="8"/>
        <v>3.7210324859306638</v>
      </c>
    </row>
    <row r="41" spans="2:11" x14ac:dyDescent="0.25">
      <c r="B41">
        <f t="shared" si="9"/>
        <v>0.22608090039426987</v>
      </c>
      <c r="C41">
        <f t="shared" si="5"/>
        <v>0.91703087459764498</v>
      </c>
      <c r="D41">
        <f t="shared" si="6"/>
        <v>5.1112573523083772E-2</v>
      </c>
      <c r="E41">
        <f t="shared" si="7"/>
        <v>0.20732316581838037</v>
      </c>
      <c r="J41">
        <v>7.1734592825095485</v>
      </c>
      <c r="K41">
        <f t="shared" si="8"/>
        <v>3.8321600651602381</v>
      </c>
    </row>
    <row r="42" spans="2:11" x14ac:dyDescent="0.25">
      <c r="B42">
        <f t="shared" si="9"/>
        <v>0.25112894094485849</v>
      </c>
      <c r="C42">
        <f t="shared" si="5"/>
        <v>1.0309076552869634</v>
      </c>
      <c r="D42">
        <f t="shared" si="6"/>
        <v>6.3065744980086227E-2</v>
      </c>
      <c r="E42">
        <f t="shared" si="7"/>
        <v>0.25889074768416237</v>
      </c>
      <c r="J42">
        <v>7.1985073230601371</v>
      </c>
      <c r="K42">
        <f t="shared" si="8"/>
        <v>3.9351175631976325</v>
      </c>
    </row>
    <row r="43" spans="2:11" x14ac:dyDescent="0.25">
      <c r="B43">
        <f t="shared" si="9"/>
        <v>0.27440781135224324</v>
      </c>
      <c r="C43">
        <f t="shared" si="5"/>
        <v>1.141927274739269</v>
      </c>
      <c r="D43">
        <f t="shared" si="6"/>
        <v>7.5299646931128311E-2</v>
      </c>
      <c r="E43">
        <f t="shared" si="7"/>
        <v>0.31335376418463456</v>
      </c>
      <c r="J43">
        <v>7.2217861934675218</v>
      </c>
      <c r="K43">
        <f t="shared" si="8"/>
        <v>4.0308030620070312</v>
      </c>
    </row>
    <row r="44" spans="2:11" x14ac:dyDescent="0.25">
      <c r="B44">
        <f>G23 - AVERAGE($G$5:$G$23)</f>
        <v>0.29056538795152864</v>
      </c>
      <c r="C44">
        <f t="shared" si="5"/>
        <v>1.2079970222506158</v>
      </c>
      <c r="D44">
        <f t="shared" si="6"/>
        <v>8.4428244675422343E-2</v>
      </c>
      <c r="E44">
        <f t="shared" si="7"/>
        <v>0.35100212341454157</v>
      </c>
      <c r="J44">
        <v>7.2379437700668072</v>
      </c>
      <c r="K44">
        <f>J44*$G$26+$H$26</f>
        <v>4.0972171856048512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2015-06-05T18:19:34Z</dcterms:created>
  <dcterms:modified xsi:type="dcterms:W3CDTF">2024-11-14T19:07:16Z</dcterms:modified>
</cp:coreProperties>
</file>