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<sst xmlns="http://schemas.openxmlformats.org/spreadsheetml/2006/main" count="32" uniqueCount="29">
  <si>
    <t>STOCK NAME</t>
  </si>
  <si>
    <t>SECTOR</t>
  </si>
  <si>
    <t>CAPITAL</t>
  </si>
  <si>
    <t>MARKET CAPITAL</t>
  </si>
  <si>
    <t>QUANTITY</t>
  </si>
  <si>
    <t>BUY PRICE</t>
  </si>
  <si>
    <t>AMOUNT PAID</t>
  </si>
  <si>
    <t>CURRENT PRICE</t>
  </si>
  <si>
    <t>TOTAL VALUE</t>
  </si>
  <si>
    <t>ALLOCATION</t>
  </si>
  <si>
    <t>GAIN/LOSS</t>
  </si>
  <si>
    <t>DAY CHANGE</t>
  </si>
  <si>
    <t>DAY CHANGE %</t>
  </si>
  <si>
    <t>HDFCBANK</t>
  </si>
  <si>
    <t>BANKS</t>
  </si>
  <si>
    <t>IREDA</t>
  </si>
  <si>
    <t>FINANCE</t>
  </si>
  <si>
    <t>IRFC</t>
  </si>
  <si>
    <t>NMDC</t>
  </si>
  <si>
    <r>
      <rPr>
        <color rgb="FF000000"/>
      </rPr>
      <t>Mining &amp; Mineral products</t>
    </r>
  </si>
  <si>
    <t>NTPC</t>
  </si>
  <si>
    <r>
      <rPr>
        <color rgb="FF000000"/>
      </rPr>
      <t>Power Generation &amp; Distribution</t>
    </r>
  </si>
  <si>
    <t>RVNL</t>
  </si>
  <si>
    <r>
      <rPr>
        <color rgb="FF000000"/>
      </rPr>
      <t>Infrastructure Developers &amp; Operators</t>
    </r>
  </si>
  <si>
    <t>TCS</t>
  </si>
  <si>
    <r>
      <rPr>
        <rFont val="&quot;Inter var&quot;, Inter, sans-serif"/>
        <color rgb="FF000000"/>
        <sz val="10.0"/>
      </rPr>
      <t>IT - Software</t>
    </r>
  </si>
  <si>
    <t>ICICIBANK</t>
  </si>
  <si>
    <t>JNK</t>
  </si>
  <si>
    <r>
      <rPr>
        <color rgb="FF000000"/>
      </rPr>
      <t>Capital Goods-Non Electrical Equipment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</si>
</sst>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₹]#,##0.00"/>
    <numFmt numFmtId="165" formatCode="[$$]#,##0.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Roboto"/>
    </font>
    <font>
      <sz val="11.0"/>
      <color rgb="FF44475B"/>
      <name val="Calibri"/>
    </font>
    <font>
      <sz val="10.0"/>
      <color rgb="FF000000"/>
      <name val="&quot;Inter var&quot;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DD9D4"/>
        <bgColor rgb="FFCDD9D4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B7E1CD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4C7C3"/>
      </left>
      <right style="thin">
        <color rgb="FFF4C7C3"/>
      </right>
      <top style="thin">
        <color rgb="FFF4C7C3"/>
      </top>
      <bottom style="thin">
        <color rgb="FFF4C7C3"/>
      </bottom>
    </border>
    <border>
      <left style="thin">
        <color rgb="FFCDD9D4"/>
      </left>
      <right style="thin">
        <color rgb="FFCDD9D4"/>
      </right>
      <top style="double">
        <color rgb="FF284E3F"/>
      </top>
      <bottom style="thin">
        <color rgb="FF284E3F"/>
      </bottom>
    </border>
    <border>
      <left style="thin">
        <color rgb="FFB7E1CD"/>
      </left>
      <right style="thin">
        <color rgb="FFB7E1CD"/>
      </right>
      <top style="double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5" fillId="0" fontId="1" numFmtId="10" xfId="0" applyAlignment="1" applyBorder="1" applyFont="1" applyNumberFormat="1">
      <alignment shrinkToFit="0" vertical="center" wrapText="0"/>
    </xf>
    <xf borderId="6" fillId="0" fontId="1" numFmtId="164" xfId="0" applyAlignment="1" applyBorder="1" applyFont="1" applyNumberFormat="1">
      <alignment shrinkToFit="0" vertical="center" wrapText="0"/>
    </xf>
    <xf borderId="7" fillId="0" fontId="1" numFmtId="10" xfId="0" applyAlignment="1" applyBorder="1" applyFont="1" applyNumberFormat="1">
      <alignment shrinkToFit="0" vertical="center" wrapText="0"/>
    </xf>
    <xf borderId="0" fillId="0" fontId="1" numFmtId="165" xfId="0" applyFont="1" applyNumberFormat="1"/>
    <xf borderId="8" fillId="0" fontId="2" numFmtId="0" xfId="0" applyAlignment="1" applyBorder="1" applyFont="1">
      <alignment readingOrder="0" shrinkToFit="0" vertical="bottom" wrapText="0"/>
    </xf>
    <xf borderId="5" fillId="2" fontId="0" numFmtId="0" xfId="0" applyAlignment="1" applyBorder="1" applyFill="1" applyFont="1">
      <alignment readingOrder="0" shrinkToFit="0" vertical="center" wrapText="0"/>
    </xf>
    <xf borderId="9" fillId="0" fontId="1" numFmtId="164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9" fillId="0" fontId="1" numFmtId="164" xfId="0" applyAlignment="1" applyBorder="1" applyFont="1" applyNumberFormat="1">
      <alignment shrinkToFit="0" vertical="center" wrapText="0"/>
    </xf>
    <xf borderId="9" fillId="0" fontId="1" numFmtId="10" xfId="0" applyAlignment="1" applyBorder="1" applyFont="1" applyNumberFormat="1">
      <alignment shrinkToFit="0" vertical="center" wrapText="0"/>
    </xf>
    <xf borderId="10" fillId="0" fontId="1" numFmtId="10" xfId="0" applyAlignment="1" applyBorder="1" applyFont="1" applyNumberFormat="1">
      <alignment shrinkToFit="0" vertical="center" wrapText="0"/>
    </xf>
    <xf borderId="4" fillId="0" fontId="2" numFmtId="0" xfId="0" applyAlignment="1" applyBorder="1" applyFont="1">
      <alignment readingOrder="0" shrinkToFit="0" vertical="bottom" wrapText="0"/>
    </xf>
    <xf borderId="9" fillId="0" fontId="3" numFmtId="0" xfId="0" applyAlignment="1" applyBorder="1" applyFont="1">
      <alignment readingOrder="0" shrinkToFit="0" vertical="center" wrapText="0"/>
    </xf>
    <xf borderId="4" fillId="2" fontId="4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5" fillId="2" fontId="5" numFmtId="0" xfId="0" applyAlignment="1" applyBorder="1" applyFont="1">
      <alignment readingOrder="0" shrinkToFit="0" vertical="center" wrapText="0"/>
    </xf>
    <xf borderId="12" fillId="3" fontId="1" numFmtId="0" xfId="0" applyAlignment="1" applyBorder="1" applyFill="1" applyFont="1">
      <alignment shrinkToFit="0" vertical="center" wrapText="0"/>
    </xf>
    <xf borderId="12" fillId="3" fontId="6" numFmtId="164" xfId="0" applyAlignment="1" applyBorder="1" applyFont="1" applyNumberFormat="1">
      <alignment shrinkToFit="0" vertical="center" wrapText="0"/>
    </xf>
    <xf borderId="13" fillId="3" fontId="6" numFmtId="164" xfId="0" applyAlignment="1" applyBorder="1" applyFont="1" applyNumberFormat="1">
      <alignment shrinkToFit="0" vertical="center" wrapText="0"/>
    </xf>
    <xf borderId="12" fillId="3" fontId="1" numFmtId="164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9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color rgb="FF0B8043"/>
      </font>
      <fill>
        <patternFill patternType="none"/>
      </fill>
      <border/>
    </dxf>
    <dxf>
      <font>
        <color rgb="FFC53929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CDD9D4"/>
          <bgColor rgb="FFCDD9D4"/>
        </patternFill>
      </fill>
      <border/>
    </dxf>
  </dxfs>
  <tableStyles count="1">
    <tableStyle count="4" pivot="0" name="Sheet1-style">
      <tableStyleElement dxfId="5" type="headerRow"/>
      <tableStyleElement dxfId="6" type="firstRowStripe"/>
      <tableStyleElement dxfId="7" type="secondRowStripe"/>
      <tableStyleElement dxfId="8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totalsRowCount="1" ref="A3:M13" displayName="Table1" name="Table1" id="1">
  <tableColumns count="13">
    <tableColumn name="STOCK NAME" id="1"/>
    <tableColumn name="SECTOR" id="2"/>
    <tableColumn name="CAPITAL" id="3"/>
    <tableColumn name="MARKET CAPITAL" id="4"/>
    <tableColumn name="QUANTITY" id="5"/>
    <tableColumn name="BUY PRICE" id="6"/>
    <tableColumn name="AMOUNT PAID" id="7"/>
    <tableColumn name="CURRENT PRICE" id="8"/>
    <tableColumn totalsRowFunction="custom" name="TOTAL VALUE" id="9"/>
    <tableColumn name="ALLOCATION" id="10"/>
    <tableColumn totalsRowFunction="custom" name="GAIN/LOSS" id="11"/>
    <tableColumn totalsRowFunction="custom" name="DAY CHANGE" id="12"/>
    <tableColumn name="DAY CHANGE %" id="1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reener.in/company/compare/00000038/" TargetMode="External"/><Relationship Id="rId2" Type="http://schemas.openxmlformats.org/officeDocument/2006/relationships/hyperlink" Target="https://www.screener.in/company/compare/00000049/" TargetMode="External"/><Relationship Id="rId3" Type="http://schemas.openxmlformats.org/officeDocument/2006/relationships/hyperlink" Target="https://www.screener.in/company/compare/00000032/" TargetMode="External"/><Relationship Id="rId4" Type="http://schemas.openxmlformats.org/officeDocument/2006/relationships/hyperlink" Target="https://www.screener.in/company/compare/00000034/" TargetMode="External"/><Relationship Id="rId5" Type="http://schemas.openxmlformats.org/officeDocument/2006/relationships/hyperlink" Target="https://www.screener.in/company/compare/00000009/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31.63"/>
    <col customWidth="1" min="3" max="3" width="15.38"/>
    <col customWidth="1" min="4" max="4" width="19.13"/>
    <col customWidth="1" min="5" max="5" width="13.38"/>
    <col customWidth="1" min="6" max="6" width="16.88"/>
    <col customWidth="1" min="7" max="7" width="19.63"/>
    <col customWidth="1" min="8" max="8" width="21.0"/>
    <col customWidth="1" min="9" max="9" width="19.13"/>
    <col customWidth="1" min="10" max="10" width="18.63"/>
    <col customWidth="1" min="11" max="11" width="17.25"/>
    <col customWidth="1" min="12" max="12" width="18.88"/>
    <col customWidth="1" min="13" max="13" width="20.5"/>
    <col customWidth="1" min="15" max="15" width="16.75"/>
  </cols>
  <sheetData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3" t="s">
        <v>12</v>
      </c>
      <c r="O3" s="4" t="s">
        <v>2</v>
      </c>
    </row>
    <row r="4">
      <c r="A4" s="5" t="s">
        <v>13</v>
      </c>
      <c r="B4" s="6" t="s">
        <v>14</v>
      </c>
      <c r="C4" s="7">
        <f t="shared" ref="C4:C12" si="1">(O4/1000000000)</f>
        <v>14636.37022</v>
      </c>
      <c r="D4" s="8" t="str">
        <f t="shared" ref="D4:D12" si="2">IF(C4&gt;9,"LARGE CAP", IF(C4&gt;5,"MID CAP",IF(C4&gt;0,"SMALL CAP","")))</f>
        <v>LARGE CAP</v>
      </c>
      <c r="E4" s="6">
        <v>2.0</v>
      </c>
      <c r="F4" s="9">
        <v>1765.0</v>
      </c>
      <c r="G4" s="10">
        <f t="shared" ref="G4:G12" si="3">(F4*E4)</f>
        <v>3530</v>
      </c>
      <c r="H4" s="10">
        <f>IFERROR(__xludf.DUMMYFUNCTION("GOOGLEFINANCE(A4)"),1914.9)</f>
        <v>1914.9</v>
      </c>
      <c r="I4" s="10">
        <f t="shared" ref="I4:I12" si="4">(H4*E4)</f>
        <v>3829.8</v>
      </c>
      <c r="J4" s="11">
        <f t="shared" ref="J4:J12" si="5">(I4/$I$13)</f>
        <v>0.3783774171</v>
      </c>
      <c r="K4" s="12">
        <f t="shared" ref="K4:K12" si="6">(I4-G4)</f>
        <v>299.8</v>
      </c>
      <c r="L4" s="10">
        <f>IFERROR(__xludf.DUMMYFUNCTION("GOOGLEFINANCE(A4,""Change"")"),-9.0)</f>
        <v>-9</v>
      </c>
      <c r="M4" s="13">
        <f t="shared" ref="M4:M12" si="7">(H4/(H4-L4)-1)</f>
        <v>-0.004677997817</v>
      </c>
      <c r="O4" s="14">
        <f>IFERROR(__xludf.DUMMYFUNCTION("GOOGLEFINANCE(A4,""MARKETCAP"")"),1.4636370217157E13)</f>
        <v>14636370217157</v>
      </c>
    </row>
    <row r="5">
      <c r="A5" s="15" t="s">
        <v>15</v>
      </c>
      <c r="B5" s="16" t="s">
        <v>16</v>
      </c>
      <c r="C5" s="17">
        <f t="shared" si="1"/>
        <v>469.7919585</v>
      </c>
      <c r="D5" s="18" t="str">
        <f t="shared" si="2"/>
        <v>LARGE CAP</v>
      </c>
      <c r="E5" s="19">
        <v>3.0</v>
      </c>
      <c r="F5" s="20">
        <v>123.0</v>
      </c>
      <c r="G5" s="21">
        <f t="shared" si="3"/>
        <v>369</v>
      </c>
      <c r="H5" s="21">
        <f>IFERROR(__xludf.DUMMYFUNCTION("GOOGLEFINANCE(A5)"),174.93)</f>
        <v>174.93</v>
      </c>
      <c r="I5" s="21">
        <f t="shared" si="4"/>
        <v>524.79</v>
      </c>
      <c r="J5" s="22">
        <f t="shared" si="5"/>
        <v>0.05184831707</v>
      </c>
      <c r="K5" s="12">
        <f t="shared" si="6"/>
        <v>155.79</v>
      </c>
      <c r="L5" s="21">
        <f>IFERROR(__xludf.DUMMYFUNCTION("GOOGLEFINANCE(A5,""Change"")"),-2.8)</f>
        <v>-2.8</v>
      </c>
      <c r="M5" s="23">
        <f t="shared" si="7"/>
        <v>-0.01575423395</v>
      </c>
      <c r="O5" s="14">
        <f>IFERROR(__xludf.DUMMYFUNCTION("GOOGLEFINANCE(A5,""MARKETCAP"")"),4.697919585E11)</f>
        <v>469791958500</v>
      </c>
    </row>
    <row r="6">
      <c r="A6" s="24" t="s">
        <v>17</v>
      </c>
      <c r="B6" s="6" t="s">
        <v>16</v>
      </c>
      <c r="C6" s="7">
        <f t="shared" si="1"/>
        <v>1751.832465</v>
      </c>
      <c r="D6" s="8" t="str">
        <f t="shared" si="2"/>
        <v>LARGE CAP</v>
      </c>
      <c r="E6" s="6">
        <v>3.0</v>
      </c>
      <c r="F6" s="9">
        <v>50.0</v>
      </c>
      <c r="G6" s="10">
        <f t="shared" si="3"/>
        <v>150</v>
      </c>
      <c r="H6" s="10">
        <f>IFERROR(__xludf.DUMMYFUNCTION("GOOGLEFINANCE(A6)"),134.0)</f>
        <v>134</v>
      </c>
      <c r="I6" s="10">
        <f t="shared" si="4"/>
        <v>402</v>
      </c>
      <c r="J6" s="11">
        <f t="shared" si="5"/>
        <v>0.03971688383</v>
      </c>
      <c r="K6" s="12">
        <f t="shared" si="6"/>
        <v>252</v>
      </c>
      <c r="L6" s="10">
        <f>IFERROR(__xludf.DUMMYFUNCTION("GOOGLEFINANCE(A6,""Change"")"),-0.36)</f>
        <v>-0.36</v>
      </c>
      <c r="M6" s="13">
        <f t="shared" si="7"/>
        <v>-0.00267936886</v>
      </c>
      <c r="O6" s="14">
        <f>IFERROR(__xludf.DUMMYFUNCTION("GOOGLEFINANCE(A6,""MARKETCAP"")"),1.751832464881E12)</f>
        <v>1751832464881</v>
      </c>
    </row>
    <row r="7">
      <c r="A7" s="15" t="s">
        <v>18</v>
      </c>
      <c r="B7" s="25" t="s">
        <v>19</v>
      </c>
      <c r="C7" s="17">
        <f t="shared" si="1"/>
        <v>597.755619</v>
      </c>
      <c r="D7" s="18" t="str">
        <f t="shared" si="2"/>
        <v>LARGE CAP</v>
      </c>
      <c r="E7" s="19">
        <v>15.0</v>
      </c>
      <c r="F7" s="20">
        <v>12.0</v>
      </c>
      <c r="G7" s="21">
        <f t="shared" si="3"/>
        <v>180</v>
      </c>
      <c r="H7" s="21">
        <f>IFERROR(__xludf.DUMMYFUNCTION("GOOGLEFINANCE(A7)"),68.05)</f>
        <v>68.05</v>
      </c>
      <c r="I7" s="21">
        <f t="shared" si="4"/>
        <v>1020.75</v>
      </c>
      <c r="J7" s="22">
        <f t="shared" si="5"/>
        <v>0.1008482815</v>
      </c>
      <c r="K7" s="12">
        <f t="shared" si="6"/>
        <v>840.75</v>
      </c>
      <c r="L7" s="21">
        <f>IFERROR(__xludf.DUMMYFUNCTION("GOOGLEFINANCE(A7,""Change"")"),-0.06)</f>
        <v>-0.06</v>
      </c>
      <c r="M7" s="23">
        <f t="shared" si="7"/>
        <v>-0.0008809279107</v>
      </c>
      <c r="O7" s="14">
        <f>IFERROR(__xludf.DUMMYFUNCTION("GOOGLEFINANCE(A7,""MARKETCAP"")"),5.97755619048E11)</f>
        <v>597755619048</v>
      </c>
    </row>
    <row r="8">
      <c r="A8" s="26" t="s">
        <v>20</v>
      </c>
      <c r="B8" s="27" t="s">
        <v>21</v>
      </c>
      <c r="C8" s="7">
        <f t="shared" si="1"/>
        <v>3524.253376</v>
      </c>
      <c r="D8" s="8" t="str">
        <f t="shared" si="2"/>
        <v>LARGE CAP</v>
      </c>
      <c r="E8" s="6">
        <v>2.0</v>
      </c>
      <c r="F8" s="9">
        <v>365.0</v>
      </c>
      <c r="G8" s="10">
        <f t="shared" si="3"/>
        <v>730</v>
      </c>
      <c r="H8" s="10">
        <f>IFERROR(__xludf.DUMMYFUNCTION("GOOGLEFINANCE(A8)"),363.45)</f>
        <v>363.45</v>
      </c>
      <c r="I8" s="10">
        <f t="shared" si="4"/>
        <v>726.9</v>
      </c>
      <c r="J8" s="11">
        <f t="shared" si="5"/>
        <v>0.07181642501</v>
      </c>
      <c r="K8" s="28">
        <f t="shared" si="6"/>
        <v>-3.1</v>
      </c>
      <c r="L8" s="10">
        <f>IFERROR(__xludf.DUMMYFUNCTION("GOOGLEFINANCE(A8,""Change"")"),-0.35)</f>
        <v>-0.35</v>
      </c>
      <c r="M8" s="13">
        <f t="shared" si="7"/>
        <v>-0.0009620670698</v>
      </c>
      <c r="O8" s="14">
        <f>IFERROR(__xludf.DUMMYFUNCTION("GOOGLEFINANCE(A8,""MARKETCAP"")"),3.524253376067E12)</f>
        <v>3524253376067</v>
      </c>
    </row>
    <row r="9">
      <c r="A9" s="15" t="s">
        <v>22</v>
      </c>
      <c r="B9" s="25" t="s">
        <v>23</v>
      </c>
      <c r="C9" s="17">
        <f t="shared" si="1"/>
        <v>773.7509347</v>
      </c>
      <c r="D9" s="18" t="str">
        <f t="shared" si="2"/>
        <v>LARGE CAP</v>
      </c>
      <c r="E9" s="19">
        <v>3.0</v>
      </c>
      <c r="F9" s="20">
        <v>300.0</v>
      </c>
      <c r="G9" s="21">
        <f t="shared" si="3"/>
        <v>900</v>
      </c>
      <c r="H9" s="21">
        <f>IFERROR(__xludf.DUMMYFUNCTION("GOOGLEFINANCE(A9)"),371.1)</f>
        <v>371.1</v>
      </c>
      <c r="I9" s="21">
        <f t="shared" si="4"/>
        <v>1113.3</v>
      </c>
      <c r="J9" s="22">
        <f t="shared" si="5"/>
        <v>0.1099920566</v>
      </c>
      <c r="K9" s="12">
        <f t="shared" si="6"/>
        <v>213.3</v>
      </c>
      <c r="L9" s="21">
        <f>IFERROR(__xludf.DUMMYFUNCTION("GOOGLEFINANCE(A9,""Change"")"),-2.8)</f>
        <v>-2.8</v>
      </c>
      <c r="M9" s="23">
        <f t="shared" si="7"/>
        <v>-0.007488633324</v>
      </c>
      <c r="O9" s="14">
        <f>IFERROR(__xludf.DUMMYFUNCTION("GOOGLEFINANCE(A9,""MARKETCAP"")"),7.73750934725E11)</f>
        <v>773750934725</v>
      </c>
    </row>
    <row r="10">
      <c r="A10" s="24" t="s">
        <v>24</v>
      </c>
      <c r="B10" s="29" t="s">
        <v>25</v>
      </c>
      <c r="C10" s="7">
        <f t="shared" si="1"/>
        <v>0.567824669</v>
      </c>
      <c r="D10" s="8" t="str">
        <f t="shared" si="2"/>
        <v>SMALL CAP</v>
      </c>
      <c r="E10" s="6">
        <v>19.0</v>
      </c>
      <c r="F10" s="9">
        <v>15.0</v>
      </c>
      <c r="G10" s="10">
        <f t="shared" si="3"/>
        <v>285</v>
      </c>
      <c r="H10" s="10">
        <f>IFERROR(__xludf.DUMMYFUNCTION("GOOGLEFINANCE(A10)"),38.26)</f>
        <v>38.26</v>
      </c>
      <c r="I10" s="10">
        <f t="shared" si="4"/>
        <v>726.94</v>
      </c>
      <c r="J10" s="11">
        <f t="shared" si="5"/>
        <v>0.07182037693</v>
      </c>
      <c r="K10" s="12">
        <f t="shared" si="6"/>
        <v>441.94</v>
      </c>
      <c r="L10" s="10">
        <f>IFERROR(__xludf.DUMMYFUNCTION("GOOGLEFINANCE(A10,""Change"")"),-1.69)</f>
        <v>-1.69</v>
      </c>
      <c r="M10" s="13">
        <f t="shared" si="7"/>
        <v>-0.0423028786</v>
      </c>
      <c r="O10" s="14">
        <f>IFERROR(__xludf.DUMMYFUNCTION("GOOGLEFINANCE(A10,""MARKETCAP"")"),5.67824669E8)</f>
        <v>567824669</v>
      </c>
    </row>
    <row r="11">
      <c r="A11" s="15" t="s">
        <v>26</v>
      </c>
      <c r="B11" s="19" t="s">
        <v>14</v>
      </c>
      <c r="C11" s="17">
        <f t="shared" si="1"/>
        <v>9980.677192</v>
      </c>
      <c r="D11" s="18" t="str">
        <f t="shared" si="2"/>
        <v>LARGE CAP</v>
      </c>
      <c r="E11" s="19">
        <v>1.0</v>
      </c>
      <c r="F11" s="20">
        <v>1005.0</v>
      </c>
      <c r="G11" s="21">
        <f t="shared" si="3"/>
        <v>1005</v>
      </c>
      <c r="H11" s="21">
        <f>IFERROR(__xludf.DUMMYFUNCTION("GOOGLEFINANCE(A11)"),1401.0)</f>
        <v>1401</v>
      </c>
      <c r="I11" s="21">
        <f t="shared" si="4"/>
        <v>1401</v>
      </c>
      <c r="J11" s="22">
        <f t="shared" si="5"/>
        <v>0.1384163041</v>
      </c>
      <c r="K11" s="12">
        <f t="shared" si="6"/>
        <v>396</v>
      </c>
      <c r="L11" s="21">
        <f>IFERROR(__xludf.DUMMYFUNCTION("GOOGLEFINANCE(A11,""Change"")"),-23.4)</f>
        <v>-23.4</v>
      </c>
      <c r="M11" s="23">
        <f t="shared" si="7"/>
        <v>-0.01642796967</v>
      </c>
      <c r="O11" s="14">
        <f>IFERROR(__xludf.DUMMYFUNCTION("GOOGLEFINANCE(A11,""MARKETCAP"")"),9.980677192199E12)</f>
        <v>9980677192199</v>
      </c>
    </row>
    <row r="12">
      <c r="A12" s="24" t="s">
        <v>27</v>
      </c>
      <c r="B12" s="27" t="s">
        <v>28</v>
      </c>
      <c r="C12" s="7">
        <f t="shared" si="1"/>
        <v>8.82796935</v>
      </c>
      <c r="D12" s="8" t="str">
        <f t="shared" si="2"/>
        <v>MID CAP</v>
      </c>
      <c r="E12" s="6">
        <v>4.0</v>
      </c>
      <c r="F12" s="9">
        <v>63.0</v>
      </c>
      <c r="G12" s="10">
        <f t="shared" si="3"/>
        <v>252</v>
      </c>
      <c r="H12" s="10">
        <f>IFERROR(__xludf.DUMMYFUNCTION("GOOGLEFINANCE(A12)"),94.04)</f>
        <v>94.04</v>
      </c>
      <c r="I12" s="10">
        <f t="shared" si="4"/>
        <v>376.16</v>
      </c>
      <c r="J12" s="11">
        <f t="shared" si="5"/>
        <v>0.03716393786</v>
      </c>
      <c r="K12" s="12">
        <f t="shared" si="6"/>
        <v>124.16</v>
      </c>
      <c r="L12" s="10">
        <f>IFERROR(__xludf.DUMMYFUNCTION("GOOGLEFINANCE(A12,""Change"")"),0.54)</f>
        <v>0.54</v>
      </c>
      <c r="M12" s="13">
        <f t="shared" si="7"/>
        <v>0.00577540107</v>
      </c>
      <c r="O12" s="14">
        <f>IFERROR(__xludf.DUMMYFUNCTION("GOOGLEFINANCE(A12,""MARKETCAP"")"),8.82796935E9)</f>
        <v>8827969350</v>
      </c>
    </row>
    <row r="13">
      <c r="C13" s="30"/>
      <c r="F13" s="30"/>
      <c r="G13" s="30"/>
      <c r="H13" s="30"/>
      <c r="I13" s="31">
        <f>SUM(Table1[TOTAL VALUE])</f>
        <v>10121.64</v>
      </c>
      <c r="K13" s="32">
        <f>SUM(Table1[GAIN/LOSS])</f>
        <v>2720.64</v>
      </c>
      <c r="L13" s="33">
        <f>SUM(Table1[DAY CHANGE])</f>
        <v>-39.92</v>
      </c>
    </row>
  </sheetData>
  <conditionalFormatting sqref="K4:K13">
    <cfRule type="cellIs" dxfId="0" priority="1" operator="greaterThanOrEqual">
      <formula>0</formula>
    </cfRule>
  </conditionalFormatting>
  <conditionalFormatting sqref="K4:K13">
    <cfRule type="cellIs" dxfId="1" priority="2" operator="lessThan">
      <formula>0</formula>
    </cfRule>
  </conditionalFormatting>
  <conditionalFormatting sqref="L4:M12">
    <cfRule type="cellIs" dxfId="2" priority="3" operator="greaterThanOrEqual">
      <formula>0</formula>
    </cfRule>
  </conditionalFormatting>
  <conditionalFormatting sqref="L4:M12">
    <cfRule type="cellIs" dxfId="3" priority="4" operator="lessThan">
      <formula>0</formula>
    </cfRule>
  </conditionalFormatting>
  <dataValidations>
    <dataValidation type="custom" allowBlank="1" showDropDown="1" sqref="C4:C12 F4:M12">
      <formula1>AND(ISNUMBER(C4),(NOT(OR(NOT(ISERROR(DATEVALUE(C4))), AND(ISNUMBER(C4), LEFT(CELL("format", C4))="D")))))</formula1>
    </dataValidation>
  </dataValidations>
  <hyperlinks>
    <hyperlink r:id="rId1" ref="B7"/>
    <hyperlink r:id="rId2" ref="B8"/>
    <hyperlink r:id="rId3" ref="B9"/>
    <hyperlink r:id="rId4" ref="B10"/>
    <hyperlink r:id="rId5" ref="B12"/>
  </hyperlinks>
  <drawing r:id="rId6"/>
  <tableParts count="1">
    <tablePart r:id="rId8"/>
  </tableParts>
</worksheet>
</file>