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<sst xmlns="http://schemas.openxmlformats.org/spreadsheetml/2006/main" count="91" uniqueCount="66">
  <si>
    <t>EXPENSES</t>
  </si>
  <si>
    <t>FUNDING</t>
  </si>
  <si>
    <t>in MarsCoin</t>
  </si>
  <si>
    <t>CURRENT ASSETS</t>
  </si>
  <si>
    <t>Operating Expenses</t>
  </si>
  <si>
    <t>Cash in hand</t>
  </si>
  <si>
    <t>Accounting and Legal</t>
  </si>
  <si>
    <t>Crowdfunding</t>
  </si>
  <si>
    <t>Advertising</t>
  </si>
  <si>
    <t>Venture capital</t>
  </si>
  <si>
    <t>Insurance</t>
  </si>
  <si>
    <t>Maintenance</t>
  </si>
  <si>
    <t>Total Assets</t>
  </si>
  <si>
    <t>Office supplies</t>
  </si>
  <si>
    <t>Payroll</t>
  </si>
  <si>
    <t>PRICING</t>
  </si>
  <si>
    <t>Rent</t>
  </si>
  <si>
    <t>Utilities</t>
  </si>
  <si>
    <t>Profile 2</t>
  </si>
  <si>
    <t>Web hosting and domains</t>
  </si>
  <si>
    <t>Profile 3</t>
  </si>
  <si>
    <t>R&amp;D</t>
  </si>
  <si>
    <t>Profile 4</t>
  </si>
  <si>
    <r>
      <rPr>
        <rFont val="Arial"/>
        <color rgb="FFFFFFFF"/>
      </rPr>
      <t>`</t>
    </r>
    <r>
      <rPr>
        <rFont val="Arial"/>
        <color theme="1"/>
      </rPr>
      <t>= Profile 3 * 2 and so on</t>
    </r>
  </si>
  <si>
    <t>Other</t>
  </si>
  <si>
    <t>Swapping profiles</t>
  </si>
  <si>
    <t>Total Operating Expenses</t>
  </si>
  <si>
    <t>Swapping traits</t>
  </si>
  <si>
    <t xml:space="preserve">Conversion rate </t>
  </si>
  <si>
    <t>1(eur)=1(MC)</t>
  </si>
  <si>
    <t>Trait</t>
  </si>
  <si>
    <t>Weeks on Mars in a year</t>
  </si>
  <si>
    <t>DATE RANGE</t>
  </si>
  <si>
    <t>NON-RECURRING EXPENSES</t>
  </si>
  <si>
    <t>Furniture, Hardware, software</t>
  </si>
  <si>
    <t>Martian Annual quarter</t>
  </si>
  <si>
    <t>Sols</t>
  </si>
  <si>
    <t>Gifts given</t>
  </si>
  <si>
    <t>Quarter 1</t>
  </si>
  <si>
    <t>Quarter 2</t>
  </si>
  <si>
    <t>Total non-recurring expenses</t>
  </si>
  <si>
    <t>Quarter 3</t>
  </si>
  <si>
    <t>Quarter 4</t>
  </si>
  <si>
    <t>Total Expenses</t>
  </si>
  <si>
    <t>Expenses Q1</t>
  </si>
  <si>
    <t>Revenue Q1</t>
  </si>
  <si>
    <t>Expenses Q2</t>
  </si>
  <si>
    <t>Revenue Q2</t>
  </si>
  <si>
    <t>Expenses Q3</t>
  </si>
  <si>
    <t>Revenue Q3</t>
  </si>
  <si>
    <t>Expenses Q4</t>
  </si>
  <si>
    <t>Revenue Q4</t>
  </si>
  <si>
    <t>Year 1</t>
  </si>
  <si>
    <t>Year 2</t>
  </si>
  <si>
    <t>Year 3</t>
  </si>
  <si>
    <t>Q1</t>
  </si>
  <si>
    <t>Q2</t>
  </si>
  <si>
    <t>Q3</t>
  </si>
  <si>
    <t>Q4</t>
  </si>
  <si>
    <t>Gross revenue</t>
  </si>
  <si>
    <t>Costs</t>
  </si>
  <si>
    <t>Profit</t>
  </si>
  <si>
    <t>Year 4</t>
  </si>
  <si>
    <t>Year 5</t>
  </si>
  <si>
    <t>Year 6</t>
  </si>
  <si>
    <t>Break-even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</si>
</sst>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readingOrder="0"/>
    </xf>
    <xf borderId="6" fillId="3" fontId="1" numFmtId="0" xfId="0" applyAlignment="1" applyBorder="1" applyFont="1">
      <alignment readingOrder="0"/>
    </xf>
    <xf borderId="5" fillId="4" fontId="1" numFmtId="0" xfId="0" applyAlignment="1" applyBorder="1" applyFill="1" applyFont="1">
      <alignment readingOrder="0"/>
    </xf>
    <xf borderId="6" fillId="4" fontId="2" numFmtId="4" xfId="0" applyBorder="1" applyFont="1" applyNumberFormat="1"/>
    <xf borderId="5" fillId="0" fontId="1" numFmtId="0" xfId="0" applyAlignment="1" applyBorder="1" applyFont="1">
      <alignment readingOrder="0"/>
    </xf>
    <xf borderId="5" fillId="0" fontId="1" numFmtId="4" xfId="0" applyBorder="1" applyFont="1" applyNumberFormat="1"/>
    <xf borderId="7" fillId="0" fontId="2" numFmtId="0" xfId="0" applyAlignment="1" applyBorder="1" applyFont="1">
      <alignment readingOrder="0"/>
    </xf>
    <xf borderId="4" fillId="0" fontId="2" numFmtId="4" xfId="0" applyAlignment="1" applyBorder="1" applyFont="1" applyNumberFormat="1">
      <alignment readingOrder="0"/>
    </xf>
    <xf borderId="7" fillId="0" fontId="2" numFmtId="4" xfId="0" applyAlignment="1" applyBorder="1" applyFont="1" applyNumberFormat="1">
      <alignment readingOrder="0"/>
    </xf>
    <xf borderId="7" fillId="0" fontId="2" numFmtId="0" xfId="0" applyBorder="1" applyFont="1"/>
    <xf borderId="4" fillId="0" fontId="2" numFmtId="4" xfId="0" applyBorder="1" applyFont="1" applyNumberFormat="1"/>
    <xf borderId="5" fillId="5" fontId="2" numFmtId="0" xfId="0" applyAlignment="1" applyBorder="1" applyFill="1" applyFont="1">
      <alignment readingOrder="0"/>
    </xf>
    <xf borderId="6" fillId="5" fontId="2" numFmtId="4" xfId="0" applyBorder="1" applyFont="1" applyNumberFormat="1"/>
    <xf borderId="0" fillId="0" fontId="2" numFmtId="4" xfId="0" applyFont="1" applyNumberFormat="1"/>
    <xf borderId="7" fillId="0" fontId="2" numFmtId="4" xfId="0" applyBorder="1" applyFont="1" applyNumberFormat="1"/>
    <xf borderId="2" fillId="0" fontId="2" numFmtId="4" xfId="0" applyBorder="1" applyFont="1" applyNumberFormat="1"/>
    <xf borderId="8" fillId="0" fontId="2" numFmtId="0" xfId="0" applyAlignment="1" applyBorder="1" applyFont="1">
      <alignment readingOrder="0"/>
    </xf>
    <xf borderId="9" fillId="0" fontId="2" numFmtId="4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4" xfId="0" applyAlignment="1" applyBorder="1" applyFont="1" applyNumberFormat="1">
      <alignment readingOrder="0"/>
    </xf>
    <xf borderId="11" fillId="0" fontId="1" numFmtId="0" xfId="0" applyAlignment="1" applyBorder="1" applyFont="1">
      <alignment readingOrder="0"/>
    </xf>
    <xf borderId="6" fillId="0" fontId="1" numFmtId="4" xfId="0" applyBorder="1" applyFont="1" applyNumberForma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right" readingOrder="0"/>
    </xf>
    <xf borderId="12" fillId="0" fontId="2" numFmtId="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6" fillId="3" fontId="2" numFmtId="0" xfId="0" applyBorder="1" applyFont="1"/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5" fillId="6" fontId="2" numFmtId="0" xfId="0" applyAlignment="1" applyBorder="1" applyFill="1" applyFont="1">
      <alignment readingOrder="0"/>
    </xf>
    <xf borderId="2" fillId="6" fontId="2" numFmtId="0" xfId="0" applyAlignment="1" applyBorder="1" applyFont="1">
      <alignment horizontal="right" readingOrder="0"/>
    </xf>
    <xf borderId="13" fillId="0" fontId="2" numFmtId="0" xfId="0" applyAlignment="1" applyBorder="1" applyFont="1">
      <alignment readingOrder="0"/>
    </xf>
    <xf borderId="2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horizontal="right"/>
    </xf>
    <xf borderId="14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4" fillId="0" fontId="2" numFmtId="3" xfId="0" applyAlignment="1" applyBorder="1" applyFont="1" applyNumberFormat="1">
      <alignment readingOrder="0"/>
    </xf>
    <xf borderId="12" fillId="0" fontId="2" numFmtId="3" xfId="0" applyAlignment="1" applyBorder="1" applyFont="1" applyNumberFormat="1">
      <alignment readingOrder="0"/>
    </xf>
    <xf borderId="11" fillId="7" fontId="1" numFmtId="0" xfId="0" applyAlignment="1" applyBorder="1" applyFill="1" applyFont="1">
      <alignment readingOrder="0"/>
    </xf>
    <xf borderId="6" fillId="7" fontId="1" numFmtId="4" xfId="0" applyBorder="1" applyFont="1" applyNumberFormat="1"/>
    <xf borderId="0" fillId="0" fontId="2" numFmtId="3" xfId="0" applyFont="1" applyNumberFormat="1"/>
    <xf borderId="14" fillId="0" fontId="2" numFmtId="0" xfId="0" applyBorder="1" applyFont="1"/>
    <xf borderId="15" fillId="0" fontId="2" numFmtId="0" xfId="0" applyBorder="1" applyFont="1"/>
    <xf borderId="2" fillId="0" fontId="2" numFmtId="164" xfId="0" applyBorder="1" applyFont="1" applyNumberFormat="1"/>
    <xf borderId="4" fillId="0" fontId="2" numFmtId="164" xfId="0" applyBorder="1" applyFont="1" applyNumberFormat="1"/>
    <xf borderId="12" fillId="0" fontId="2" numFmtId="164" xfId="0" applyBorder="1" applyFont="1" applyNumberFormat="1"/>
    <xf borderId="12" fillId="0" fontId="2" numFmtId="4" xfId="0" applyBorder="1" applyFont="1" applyNumberFormat="1"/>
    <xf borderId="0" fillId="0" fontId="1" numFmtId="0" xfId="0" applyFont="1"/>
    <xf borderId="0" fillId="0" fontId="1" numFmtId="4" xfId="0" applyFont="1" applyNumberFormat="1"/>
    <xf borderId="10" fillId="0" fontId="2" numFmtId="0" xfId="0" applyBorder="1" applyFont="1"/>
    <xf borderId="5" fillId="0" fontId="1" numFmtId="4" xfId="0" applyAlignment="1" applyBorder="1" applyFont="1" applyNumberFormat="1">
      <alignment readingOrder="0"/>
    </xf>
    <xf borderId="5" fillId="8" fontId="1" numFmtId="0" xfId="0" applyAlignment="1" applyBorder="1" applyFill="1" applyFont="1">
      <alignment readingOrder="0"/>
    </xf>
    <xf borderId="5" fillId="0" fontId="2" numFmtId="4" xfId="0" applyAlignment="1" applyBorder="1" applyFont="1" applyNumberFormat="1">
      <alignment readingOrder="0"/>
    </xf>
    <xf borderId="5" fillId="0" fontId="0" numFmtId="4" xfId="0" applyAlignment="1" applyBorder="1" applyFont="1" applyNumberFormat="1">
      <alignment readingOrder="0"/>
    </xf>
    <xf borderId="5" fillId="0" fontId="0" numFmtId="4" xfId="0" applyBorder="1" applyFont="1" applyNumberFormat="1"/>
    <xf borderId="5" fillId="0" fontId="2" numFmtId="4" xfId="0" applyBorder="1" applyFont="1" applyNumberFormat="1"/>
    <xf borderId="5" fillId="2" fontId="3" numFmtId="0" xfId="0" applyAlignment="1" applyBorder="1" applyFont="1">
      <alignment readingOrder="0"/>
    </xf>
    <xf borderId="5" fillId="2" fontId="3" numFmtId="4" xfId="0" applyAlignment="1" applyBorder="1" applyFont="1" applyNumberFormat="1">
      <alignment readingOrder="0"/>
    </xf>
    <xf borderId="5" fillId="0" fontId="0" numFmtId="2" xfId="0" applyBorder="1" applyFont="1" applyNumberFormat="1"/>
    <xf borderId="0" fillId="0" fontId="0" numFmtId="2" xfId="0" applyFont="1" applyNumberFormat="1"/>
    <xf borderId="5" fillId="2" fontId="4" numFmtId="4" xfId="0" applyBorder="1" applyFont="1" applyNumberFormat="1"/>
    <xf borderId="5" fillId="2" fontId="4" numFmtId="2" xfId="0" applyBorder="1" applyFont="1" applyNumberFormat="1"/>
    <xf borderId="5" fillId="2" fontId="4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3.63"/>
    <col customWidth="1" min="3" max="3" width="11.88"/>
    <col customWidth="1" min="4" max="4" width="17.38"/>
    <col customWidth="1" min="5" max="5" width="19.0"/>
    <col customWidth="1" min="6" max="13" width="9.0"/>
  </cols>
  <sheetData>
    <row r="1">
      <c r="A1" s="1" t="s">
        <v>0</v>
      </c>
      <c r="B1" s="2"/>
      <c r="D1" s="3" t="s">
        <v>1</v>
      </c>
      <c r="E1" s="4"/>
    </row>
    <row r="2">
      <c r="A2" s="5"/>
      <c r="B2" s="6"/>
      <c r="D2" s="7"/>
      <c r="E2" s="8"/>
    </row>
    <row r="3">
      <c r="A3" s="9" t="s">
        <v>0</v>
      </c>
      <c r="B3" s="10" t="s">
        <v>2</v>
      </c>
      <c r="D3" s="11" t="s">
        <v>3</v>
      </c>
      <c r="E3" s="12"/>
    </row>
    <row r="4">
      <c r="A4" s="13" t="s">
        <v>4</v>
      </c>
      <c r="B4" s="14"/>
      <c r="D4" s="15" t="s">
        <v>5</v>
      </c>
      <c r="E4" s="16">
        <v>65000.0</v>
      </c>
    </row>
    <row r="5">
      <c r="A5" s="15" t="s">
        <v>6</v>
      </c>
      <c r="B5" s="17">
        <v>62000.0</v>
      </c>
      <c r="D5" s="15" t="s">
        <v>7</v>
      </c>
      <c r="E5" s="16">
        <v>50000.0</v>
      </c>
    </row>
    <row r="6">
      <c r="A6" s="15" t="s">
        <v>8</v>
      </c>
      <c r="B6" s="17">
        <v>12000.0</v>
      </c>
      <c r="D6" s="15" t="s">
        <v>9</v>
      </c>
      <c r="E6" s="16">
        <v>0.0</v>
      </c>
    </row>
    <row r="7">
      <c r="A7" s="15" t="s">
        <v>10</v>
      </c>
      <c r="B7" s="17">
        <v>10000.0</v>
      </c>
      <c r="D7" s="18"/>
      <c r="E7" s="19"/>
    </row>
    <row r="8">
      <c r="A8" s="15" t="s">
        <v>11</v>
      </c>
      <c r="B8" s="17">
        <v>3000.0</v>
      </c>
      <c r="D8" s="20" t="s">
        <v>12</v>
      </c>
      <c r="E8" s="21">
        <f>sum(E4:E7)</f>
        <v>115000</v>
      </c>
    </row>
    <row r="9">
      <c r="A9" s="15" t="s">
        <v>13</v>
      </c>
      <c r="B9" s="17">
        <v>12000.0</v>
      </c>
      <c r="E9" s="22"/>
    </row>
    <row r="10">
      <c r="A10" s="15" t="s">
        <v>14</v>
      </c>
      <c r="B10" s="23">
        <f>13*7*5*98*5</f>
        <v>222950</v>
      </c>
      <c r="D10" s="3" t="s">
        <v>15</v>
      </c>
      <c r="E10" s="24"/>
    </row>
    <row r="11">
      <c r="A11" s="15" t="s">
        <v>16</v>
      </c>
      <c r="B11" s="17">
        <v>65000.0</v>
      </c>
      <c r="D11" s="7"/>
      <c r="E11" s="8"/>
    </row>
    <row r="12">
      <c r="A12" s="15" t="s">
        <v>17</v>
      </c>
      <c r="B12" s="17">
        <v>6000.0</v>
      </c>
      <c r="D12" s="25" t="s">
        <v>18</v>
      </c>
      <c r="E12" s="26">
        <v>200.0</v>
      </c>
    </row>
    <row r="13">
      <c r="A13" s="15" t="s">
        <v>19</v>
      </c>
      <c r="B13" s="17">
        <v>1200.0</v>
      </c>
      <c r="D13" s="15" t="s">
        <v>20</v>
      </c>
      <c r="E13" s="19">
        <f>E12*2</f>
        <v>400</v>
      </c>
    </row>
    <row r="14">
      <c r="A14" s="15" t="s">
        <v>21</v>
      </c>
      <c r="B14" s="17">
        <v>83000.0</v>
      </c>
      <c r="D14" s="15" t="s">
        <v>22</v>
      </c>
      <c r="E14" s="27" t="s">
        <v>23</v>
      </c>
    </row>
    <row r="15">
      <c r="A15" s="28" t="s">
        <v>24</v>
      </c>
      <c r="B15" s="29">
        <v>50000.0</v>
      </c>
      <c r="D15" s="15" t="s">
        <v>25</v>
      </c>
      <c r="E15" s="16">
        <v>5.0</v>
      </c>
    </row>
    <row r="16">
      <c r="A16" s="30" t="s">
        <v>26</v>
      </c>
      <c r="B16" s="31">
        <f>sum(B5:B15)</f>
        <v>527150</v>
      </c>
      <c r="D16" s="15" t="s">
        <v>27</v>
      </c>
      <c r="E16" s="16">
        <v>5.0</v>
      </c>
    </row>
    <row r="17">
      <c r="A17" s="32" t="s">
        <v>28</v>
      </c>
      <c r="B17" s="33" t="s">
        <v>29</v>
      </c>
      <c r="D17" s="28" t="s">
        <v>30</v>
      </c>
      <c r="E17" s="34">
        <v>140.0</v>
      </c>
    </row>
    <row r="18">
      <c r="A18" s="32" t="s">
        <v>31</v>
      </c>
      <c r="B18" s="35">
        <v>98.0</v>
      </c>
    </row>
    <row r="19">
      <c r="A19" s="7"/>
      <c r="B19" s="8"/>
      <c r="D19" s="3" t="s">
        <v>32</v>
      </c>
      <c r="E19" s="4"/>
    </row>
    <row r="20">
      <c r="A20" s="36" t="s">
        <v>33</v>
      </c>
      <c r="B20" s="37"/>
      <c r="D20" s="32"/>
      <c r="E20" s="35"/>
      <c r="M20" s="38"/>
    </row>
    <row r="21">
      <c r="A21" s="39" t="s">
        <v>34</v>
      </c>
      <c r="B21" s="40">
        <v>32000.0</v>
      </c>
      <c r="D21" s="41" t="s">
        <v>35</v>
      </c>
      <c r="E21" s="42" t="s">
        <v>36</v>
      </c>
      <c r="M21" s="38"/>
    </row>
    <row r="22">
      <c r="A22" s="32" t="s">
        <v>37</v>
      </c>
      <c r="B22" s="35">
        <v>4000.0</v>
      </c>
      <c r="D22" s="43" t="s">
        <v>38</v>
      </c>
      <c r="E22" s="44">
        <v>194.0</v>
      </c>
      <c r="M22" s="45"/>
    </row>
    <row r="23">
      <c r="A23" s="46" t="s">
        <v>24</v>
      </c>
      <c r="B23" s="47">
        <v>4000.0</v>
      </c>
      <c r="D23" s="15" t="s">
        <v>39</v>
      </c>
      <c r="E23" s="48">
        <v>178.0</v>
      </c>
    </row>
    <row r="24">
      <c r="A24" s="32" t="s">
        <v>40</v>
      </c>
      <c r="B24" s="8">
        <f>sum(B21:B23)</f>
        <v>40000</v>
      </c>
      <c r="D24" s="15" t="s">
        <v>41</v>
      </c>
      <c r="E24" s="48">
        <v>142.0</v>
      </c>
    </row>
    <row r="25">
      <c r="A25" s="7"/>
      <c r="B25" s="8"/>
      <c r="D25" s="28" t="s">
        <v>42</v>
      </c>
      <c r="E25" s="49">
        <v>154.0</v>
      </c>
    </row>
    <row r="26">
      <c r="A26" s="50" t="s">
        <v>43</v>
      </c>
      <c r="B26" s="51">
        <f>sum(B16+B24)</f>
        <v>567150</v>
      </c>
      <c r="E26" s="52">
        <f>SUM(E22:E25)</f>
        <v>668</v>
      </c>
    </row>
    <row r="27">
      <c r="A27" s="53"/>
      <c r="B27" s="54"/>
      <c r="D27" s="22"/>
    </row>
    <row r="28">
      <c r="D28" s="22"/>
    </row>
    <row r="29">
      <c r="A29" s="39" t="s">
        <v>44</v>
      </c>
      <c r="B29" s="55">
        <f t="shared" ref="B29:B32" si="1">$B$16/$E$26*$E22</f>
        <v>153094.4611</v>
      </c>
      <c r="D29" s="39" t="s">
        <v>45</v>
      </c>
      <c r="E29" s="24">
        <f>(E17+E12)*120+E4+E5</f>
        <v>155800</v>
      </c>
    </row>
    <row r="30">
      <c r="A30" s="32" t="s">
        <v>46</v>
      </c>
      <c r="B30" s="56">
        <f t="shared" si="1"/>
        <v>140468.1138</v>
      </c>
      <c r="D30" s="32" t="s">
        <v>47</v>
      </c>
      <c r="E30" s="19">
        <f>(E17+E12)*500</f>
        <v>170000</v>
      </c>
    </row>
    <row r="31">
      <c r="A31" s="32" t="s">
        <v>48</v>
      </c>
      <c r="B31" s="56">
        <f t="shared" si="1"/>
        <v>112058.8323</v>
      </c>
      <c r="D31" s="32" t="s">
        <v>49</v>
      </c>
      <c r="E31" s="19">
        <f>(E17+E12)*340</f>
        <v>115600</v>
      </c>
    </row>
    <row r="32">
      <c r="A32" s="46" t="s">
        <v>50</v>
      </c>
      <c r="B32" s="57">
        <f t="shared" si="1"/>
        <v>121528.5928</v>
      </c>
      <c r="D32" s="46" t="s">
        <v>51</v>
      </c>
      <c r="E32" s="58">
        <f>(E17+E12)*500</f>
        <v>170000</v>
      </c>
    </row>
    <row r="33">
      <c r="D33" s="22"/>
    </row>
    <row r="34">
      <c r="D34" s="22"/>
    </row>
    <row r="35">
      <c r="D35" s="22"/>
    </row>
    <row r="36">
      <c r="B36" s="13" t="s">
        <v>52</v>
      </c>
      <c r="C36" s="59"/>
      <c r="D36" s="60"/>
      <c r="E36" s="59"/>
      <c r="F36" s="13" t="s">
        <v>53</v>
      </c>
      <c r="G36" s="59"/>
      <c r="H36" s="59"/>
      <c r="I36" s="59"/>
      <c r="J36" s="13" t="s">
        <v>54</v>
      </c>
      <c r="K36" s="59"/>
      <c r="L36" s="59"/>
      <c r="M36" s="59"/>
    </row>
    <row r="37">
      <c r="A37" s="61"/>
      <c r="B37" s="13" t="s">
        <v>55</v>
      </c>
      <c r="C37" s="13" t="s">
        <v>56</v>
      </c>
      <c r="D37" s="62" t="s">
        <v>57</v>
      </c>
      <c r="E37" s="13" t="s">
        <v>58</v>
      </c>
      <c r="F37" s="13" t="s">
        <v>55</v>
      </c>
      <c r="G37" s="13" t="s">
        <v>56</v>
      </c>
      <c r="H37" s="13" t="s">
        <v>57</v>
      </c>
      <c r="I37" s="13" t="s">
        <v>58</v>
      </c>
      <c r="J37" s="13" t="s">
        <v>55</v>
      </c>
      <c r="K37" s="13" t="s">
        <v>56</v>
      </c>
      <c r="L37" s="62" t="s">
        <v>57</v>
      </c>
      <c r="M37" s="13" t="s">
        <v>58</v>
      </c>
    </row>
    <row r="38">
      <c r="A38" s="63" t="s">
        <v>59</v>
      </c>
      <c r="B38" s="64">
        <f>E29</f>
        <v>155800</v>
      </c>
      <c r="C38" s="64">
        <f>E30</f>
        <v>170000</v>
      </c>
      <c r="D38" s="64">
        <f>E31</f>
        <v>115600</v>
      </c>
      <c r="E38" s="64">
        <f>E32</f>
        <v>170000</v>
      </c>
      <c r="F38" s="64">
        <f>((E17+E12)*315)+((E17+E13)*76)</f>
        <v>148140</v>
      </c>
      <c r="G38" s="64">
        <f>((E17+E12)*328)+((E17+E13)*70)</f>
        <v>149320</v>
      </c>
      <c r="H38" s="64">
        <f>((E17+E12)*301)+((E17+E13)*93)</f>
        <v>152560</v>
      </c>
      <c r="I38" s="64">
        <f>((E17+E12)*602)+((E17+E13)*28)</f>
        <v>219800</v>
      </c>
      <c r="J38" s="65">
        <f>((E17+E12)*403)+((E17+E13)*76)+((E17+800)*2)</f>
        <v>179940</v>
      </c>
      <c r="K38" s="66">
        <f>((E17+E12)*506)+((E17+E13)*17)+((E17+800)*20)</f>
        <v>200020</v>
      </c>
      <c r="L38" s="66">
        <f>((E17+E12)*732)+((E17+E13)*30)+((E17+800)*2)</f>
        <v>266960</v>
      </c>
      <c r="M38" s="66">
        <f>((E17+E12)*813)+((E17+E13)*64)+((E17+800)*8)</f>
        <v>318500</v>
      </c>
    </row>
    <row r="39">
      <c r="A39" s="13" t="s">
        <v>60</v>
      </c>
      <c r="B39" s="67">
        <f>B29+B24</f>
        <v>193094.4611</v>
      </c>
      <c r="C39" s="67">
        <f>B30</f>
        <v>140468.1138</v>
      </c>
      <c r="D39" s="67">
        <f>B31</f>
        <v>112058.8323</v>
      </c>
      <c r="E39" s="67">
        <f>B32</f>
        <v>121528.5928</v>
      </c>
      <c r="F39" s="67">
        <f>B29</f>
        <v>153094.4611</v>
      </c>
      <c r="G39" s="67">
        <f>B30</f>
        <v>140468.1138</v>
      </c>
      <c r="H39" s="67">
        <f>B31</f>
        <v>112058.8323</v>
      </c>
      <c r="I39" s="67">
        <f>B32</f>
        <v>121528.5928</v>
      </c>
      <c r="J39" s="67">
        <f>B29</f>
        <v>153094.4611</v>
      </c>
      <c r="K39" s="67">
        <f>B30</f>
        <v>140468.1138</v>
      </c>
      <c r="L39" s="67">
        <f>B31</f>
        <v>112058.8323</v>
      </c>
      <c r="M39" s="67">
        <f>B32</f>
        <v>121528.5928</v>
      </c>
    </row>
    <row r="40">
      <c r="A40" s="13" t="s">
        <v>61</v>
      </c>
      <c r="B40" s="67">
        <f t="shared" ref="B40:M40" si="2">B38-B39</f>
        <v>-37294.46108</v>
      </c>
      <c r="C40" s="67">
        <f t="shared" si="2"/>
        <v>29531.88623</v>
      </c>
      <c r="D40" s="67">
        <f t="shared" si="2"/>
        <v>3541.167665</v>
      </c>
      <c r="E40" s="67">
        <f t="shared" si="2"/>
        <v>48471.40719</v>
      </c>
      <c r="F40" s="67">
        <f t="shared" si="2"/>
        <v>-4954.461078</v>
      </c>
      <c r="G40" s="67">
        <f t="shared" si="2"/>
        <v>8851.886228</v>
      </c>
      <c r="H40" s="67">
        <f t="shared" si="2"/>
        <v>40501.16766</v>
      </c>
      <c r="I40" s="67">
        <f t="shared" si="2"/>
        <v>98271.40719</v>
      </c>
      <c r="J40" s="67">
        <f t="shared" si="2"/>
        <v>26845.53892</v>
      </c>
      <c r="K40" s="67">
        <f t="shared" si="2"/>
        <v>59551.88623</v>
      </c>
      <c r="L40" s="67">
        <f t="shared" si="2"/>
        <v>154901.1677</v>
      </c>
      <c r="M40" s="67">
        <f t="shared" si="2"/>
        <v>196971.4072</v>
      </c>
    </row>
    <row r="41">
      <c r="D41" s="22"/>
    </row>
    <row r="42">
      <c r="B42" s="13" t="s">
        <v>62</v>
      </c>
      <c r="F42" s="13" t="s">
        <v>63</v>
      </c>
      <c r="J42" s="13" t="s">
        <v>64</v>
      </c>
    </row>
    <row r="43">
      <c r="B43" s="68" t="s">
        <v>55</v>
      </c>
      <c r="C43" s="68" t="s">
        <v>56</v>
      </c>
      <c r="D43" s="69" t="s">
        <v>57</v>
      </c>
      <c r="E43" s="68" t="s">
        <v>58</v>
      </c>
      <c r="F43" s="68" t="s">
        <v>55</v>
      </c>
      <c r="G43" s="68" t="s">
        <v>56</v>
      </c>
      <c r="H43" s="69" t="s">
        <v>57</v>
      </c>
      <c r="I43" s="68" t="s">
        <v>58</v>
      </c>
      <c r="J43" s="68" t="s">
        <v>55</v>
      </c>
      <c r="K43" s="68" t="s">
        <v>56</v>
      </c>
      <c r="L43" s="69" t="s">
        <v>57</v>
      </c>
      <c r="M43" s="68" t="s">
        <v>58</v>
      </c>
    </row>
    <row r="44">
      <c r="A44" s="63" t="s">
        <v>59</v>
      </c>
      <c r="B44" s="70">
        <f>((E17+E12)*713)+((E17+E13)*85)+((E17+800)*45)+(E17+1600)*2</f>
        <v>334100</v>
      </c>
      <c r="C44" s="70">
        <f>((E17+E12)*1200)+((E17+E13)*110)+(E17*5)</f>
        <v>468100</v>
      </c>
      <c r="D44" s="71">
        <f>((E17+E12)*1200)+((E17+E13)*110)+(E17*40)</f>
        <v>473000</v>
      </c>
      <c r="E44" s="70">
        <f>((E17+E12)*1100)+((E17+E13)*210)+(E17*60)+(E17+1600)*6</f>
        <v>506240</v>
      </c>
      <c r="F44" s="70">
        <f>((E17+E12)*100)+((E17+E13)*740)+(E17*40)+(E17+1600)*2</f>
        <v>442680</v>
      </c>
      <c r="G44" s="70">
        <f>((E17+E12)*739)+((E17+E13)*220)+(E17*50)+(E17+1600)*6</f>
        <v>387500</v>
      </c>
      <c r="H44" s="70">
        <f>((E17+E12)*501)+((E17+E13)*172)+(E17*32)+((E17+1600)*7)+((E17+3200)*2)</f>
        <v>286560</v>
      </c>
      <c r="I44" s="70">
        <f>((E17+E12)*620)+((E17+E13)*340)+(E17*50)+((E17+1600)*7)+((E17+3200)*2)</f>
        <v>420260</v>
      </c>
      <c r="J44" s="70">
        <f>((E17+E12)*980)+((E17+E13)*440)+(E17*25)+((E17+1600)*3)+((E17+3200)*2)</f>
        <v>586200</v>
      </c>
      <c r="K44" s="70">
        <f>((E17+E12)*1200)+((E17+E13)*420)+(E17*40)</f>
        <v>640400</v>
      </c>
      <c r="L44" s="70">
        <f>((E17+E12)*1200)+((E17+E13)*820)+(E17*40)</f>
        <v>856400</v>
      </c>
      <c r="M44" s="70">
        <f>((E17+E12)*1200)+((E17+E13)*920)+(E17*40)</f>
        <v>910400</v>
      </c>
    </row>
    <row r="45">
      <c r="A45" s="13" t="s">
        <v>60</v>
      </c>
      <c r="B45" s="72">
        <f>B29</f>
        <v>153094.4611</v>
      </c>
      <c r="C45" s="72">
        <f>B30</f>
        <v>140468.1138</v>
      </c>
      <c r="D45" s="72">
        <f>B31</f>
        <v>112058.8323</v>
      </c>
      <c r="E45" s="72">
        <f>B32</f>
        <v>121528.5928</v>
      </c>
      <c r="F45" s="73">
        <f>B29+83000</f>
        <v>236094.4611</v>
      </c>
      <c r="G45" s="73">
        <f>B30+83000</f>
        <v>223468.1138</v>
      </c>
      <c r="H45" s="73">
        <f>B31+83000</f>
        <v>195058.8323</v>
      </c>
      <c r="I45" s="73">
        <f>B32+83000</f>
        <v>204528.5928</v>
      </c>
      <c r="J45" s="74">
        <f>187058.532934132+95000</f>
        <v>282058.5329</v>
      </c>
      <c r="K45" s="73">
        <f>175342.365269461+95000</f>
        <v>270342.3653</v>
      </c>
      <c r="L45" s="73">
        <f>148980.988023952+95000</f>
        <v>243980.988</v>
      </c>
      <c r="M45" s="74">
        <f>157768.113772455+95000</f>
        <v>252768.1138</v>
      </c>
    </row>
    <row r="46">
      <c r="A46" s="13" t="s">
        <v>61</v>
      </c>
      <c r="B46" s="73">
        <f t="shared" ref="B46:M46" si="3">B44-B45</f>
        <v>181005.5389</v>
      </c>
      <c r="C46" s="73">
        <f t="shared" si="3"/>
        <v>327631.8862</v>
      </c>
      <c r="D46" s="73">
        <f t="shared" si="3"/>
        <v>360941.1677</v>
      </c>
      <c r="E46" s="73">
        <f t="shared" si="3"/>
        <v>384711.4072</v>
      </c>
      <c r="F46" s="73">
        <f t="shared" si="3"/>
        <v>206585.5389</v>
      </c>
      <c r="G46" s="73">
        <f t="shared" si="3"/>
        <v>164031.8862</v>
      </c>
      <c r="H46" s="73">
        <f t="shared" si="3"/>
        <v>91501.16766</v>
      </c>
      <c r="I46" s="73">
        <f t="shared" si="3"/>
        <v>215731.4072</v>
      </c>
      <c r="J46" s="73">
        <f t="shared" si="3"/>
        <v>304141.4671</v>
      </c>
      <c r="K46" s="73">
        <f t="shared" si="3"/>
        <v>370057.6347</v>
      </c>
      <c r="L46" s="73">
        <f t="shared" si="3"/>
        <v>612419.012</v>
      </c>
      <c r="M46" s="73">
        <f t="shared" si="3"/>
        <v>657631.8862</v>
      </c>
    </row>
    <row r="47">
      <c r="D47" s="22"/>
    </row>
    <row r="48">
      <c r="A48" s="75" t="s">
        <v>65</v>
      </c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</sheetData>
  <conditionalFormatting sqref="B38:M38">
    <cfRule type="colorScale" priority="1">
      <colorScale>
        <cfvo type="formula" val="0"/>
        <cfvo type="formula" val="20"/>
        <cfvo type="max"/>
        <color rgb="FFE67C73"/>
        <color rgb="FFFFD966"/>
        <color rgb="FF34A853"/>
      </colorScale>
    </cfRule>
  </conditionalFormatting>
  <conditionalFormatting sqref="B40:M40">
    <cfRule type="colorScale" priority="2">
      <colorScale>
        <cfvo type="formula" val="0"/>
        <cfvo type="percentile" val="70"/>
        <cfvo type="max"/>
        <color rgb="FFE67C73"/>
        <color rgb="FFFFD966"/>
        <color rgb="FF34A853"/>
      </colorScale>
    </cfRule>
  </conditionalFormatting>
  <conditionalFormatting sqref="B39:M39">
    <cfRule type="colorScale" priority="3">
      <colorScale>
        <cfvo type="min"/>
        <cfvo type="percentile" val="50"/>
        <cfvo type="max"/>
        <color rgb="FF34A853"/>
        <color rgb="FFFFD966"/>
        <color rgb="FFE67C73"/>
      </colorScale>
    </cfRule>
  </conditionalFormatting>
  <conditionalFormatting sqref="B45:M45">
    <cfRule type="colorScale" priority="4">
      <colorScale>
        <cfvo type="min"/>
        <cfvo type="percentile" val="50"/>
        <cfvo type="max"/>
        <color rgb="FF34A853"/>
        <color rgb="FFFFE599"/>
        <color rgb="FFE67C73"/>
      </colorScale>
    </cfRule>
  </conditionalFormatting>
  <conditionalFormatting sqref="B44:M44">
    <cfRule type="colorScale" priority="5">
      <colorScale>
        <cfvo type="formula" val="200000"/>
        <cfvo type="percentile" val="20"/>
        <cfvo type="max"/>
        <color rgb="FFE67C73"/>
        <color rgb="FFFFE599"/>
        <color rgb="FF34A853"/>
      </colorScale>
    </cfRule>
  </conditionalFormatting>
  <conditionalFormatting sqref="B46:M46">
    <cfRule type="colorScale" priority="6">
      <colorScale>
        <cfvo type="formula" val="0"/>
        <cfvo type="percentile" val="20"/>
        <cfvo type="max"/>
        <color rgb="FFE67C73"/>
        <color rgb="FFFFE599"/>
        <color rgb="FF34A853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