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ri\Desktop\MN Bootcamp\Homework Repositories\Week1_Excel_HW\01-Kickstarter\"/>
    </mc:Choice>
  </mc:AlternateContent>
  <xr:revisionPtr revIDLastSave="0" documentId="13_ncr:1_{F007C129-388C-4DCE-BF1B-28BCC03B90E3}" xr6:coauthVersionLast="47" xr6:coauthVersionMax="47" xr10:uidLastSave="{00000000-0000-0000-0000-000000000000}"/>
  <bookViews>
    <workbookView xWindow="20445" yWindow="0" windowWidth="28050" windowHeight="19260" activeTab="2" xr2:uid="{00000000-000D-0000-FFFF-FFFF00000000}"/>
  </bookViews>
  <sheets>
    <sheet name="Kickstarter" sheetId="1" r:id="rId1"/>
    <sheet name="Theater Outcomes by Launch Date" sheetId="7" r:id="rId2"/>
    <sheet name="Outcomes Based on Goals" sheetId="8" r:id="rId3"/>
    <sheet name="Edinburgh Research" sheetId="5" r:id="rId4"/>
    <sheet name="Category Statistics" sheetId="2" r:id="rId5"/>
    <sheet name="Subcategory Statistics" sheetId="3" r:id="rId6"/>
  </sheets>
  <definedNames>
    <definedName name="_xlnm._FilterDatabase" localSheetId="0" hidden="1">Kickstarter!$A$1:$U$1</definedName>
  </definedNames>
  <calcPr calcId="191029"/>
  <pivotCaches>
    <pivotCache cacheId="0" r:id="rId7"/>
    <pivotCache cacheId="1" r:id="rId8"/>
    <pivotCache cacheId="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8" l="1"/>
  <c r="D12" i="8"/>
  <c r="D11" i="8"/>
  <c r="D10" i="8"/>
  <c r="D9" i="8"/>
  <c r="D8" i="8"/>
  <c r="D7" i="8"/>
  <c r="D6" i="8"/>
  <c r="D5" i="8"/>
  <c r="H5" i="8" s="1"/>
  <c r="D4" i="8"/>
  <c r="H4" i="8" s="1"/>
  <c r="D3" i="8"/>
  <c r="D2" i="8"/>
  <c r="C13" i="8"/>
  <c r="C12" i="8"/>
  <c r="C11" i="8"/>
  <c r="C10" i="8"/>
  <c r="G10" i="8" s="1"/>
  <c r="C9" i="8"/>
  <c r="C8" i="8"/>
  <c r="C7" i="8"/>
  <c r="C6" i="8"/>
  <c r="C5" i="8"/>
  <c r="G5" i="8" s="1"/>
  <c r="C4" i="8"/>
  <c r="G4" i="8" s="1"/>
  <c r="C3" i="8"/>
  <c r="C2" i="8"/>
  <c r="B13" i="8"/>
  <c r="B12" i="8"/>
  <c r="B11" i="8"/>
  <c r="B10" i="8"/>
  <c r="E10" i="8" s="1"/>
  <c r="B9" i="8"/>
  <c r="E9" i="8" s="1"/>
  <c r="B8" i="8"/>
  <c r="E8" i="8" s="1"/>
  <c r="B7" i="8"/>
  <c r="E7" i="8" s="1"/>
  <c r="B6" i="8"/>
  <c r="E6" i="8" s="1"/>
  <c r="B5" i="8"/>
  <c r="E5" i="8" s="1"/>
  <c r="B4" i="8"/>
  <c r="E4" i="8" s="1"/>
  <c r="B3" i="8"/>
  <c r="E3" i="8" s="1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5" i="5"/>
  <c r="B6" i="5"/>
  <c r="B4" i="5"/>
  <c r="B3" i="5"/>
  <c r="B2" i="5"/>
  <c r="S2" i="1"/>
  <c r="U2" i="1" s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3" i="8" l="1"/>
  <c r="H6" i="8"/>
  <c r="G3" i="8"/>
  <c r="H7" i="8"/>
  <c r="H8" i="8"/>
  <c r="H9" i="8"/>
  <c r="F2" i="8"/>
  <c r="G6" i="8"/>
  <c r="H10" i="8"/>
  <c r="G7" i="8"/>
  <c r="G8" i="8"/>
  <c r="G9" i="8"/>
  <c r="E2" i="8"/>
  <c r="H2" i="8" s="1"/>
  <c r="F10" i="8"/>
  <c r="E13" i="8"/>
  <c r="G13" i="8" s="1"/>
  <c r="F9" i="8"/>
  <c r="E12" i="8"/>
  <c r="G12" i="8" s="1"/>
  <c r="F8" i="8"/>
  <c r="E11" i="8"/>
  <c r="G11" i="8" s="1"/>
  <c r="F7" i="8"/>
  <c r="F6" i="8"/>
  <c r="F5" i="8"/>
  <c r="F4" i="8"/>
  <c r="F3" i="8"/>
  <c r="G2" i="8" l="1"/>
  <c r="F13" i="8"/>
  <c r="H13" i="8"/>
  <c r="H12" i="8"/>
  <c r="F11" i="8"/>
  <c r="H11" i="8"/>
  <c r="F12" i="8"/>
</calcChain>
</file>

<file path=xl/sharedStrings.xml><?xml version="1.0" encoding="utf-8"?>
<sst xmlns="http://schemas.openxmlformats.org/spreadsheetml/2006/main" count="33028" uniqueCount="8408">
  <si>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</si>
  <si>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</si>
  <si>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</si>
  <si>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</si>
  <si>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</si>
  <si>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</si>
  <si>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</si>
  <si>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</si>
  <si>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</si>
  <si>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</si>
  <si>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</si>
  <si>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</si>
  <si>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</si>
  <si>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</si>
  <si>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</si>
  <si>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</si>
  <si>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</si>
  <si>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</si>
  <si>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</si>
  <si>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</si>
  <si>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</si>
  <si>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</si>
  <si>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</si>
  <si>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</si>
  <si>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</si>
  <si>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</si>
  <si>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</si>
  <si>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</si>
  <si>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</si>
  <si>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</si>
  <si>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</si>
  <si>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</si>
  <si>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</si>
  <si>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</si>
  <si>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</si>
  <si>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</si>
  <si>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</si>
  <si>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</si>
  <si>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</si>
  <si>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</si>
  <si>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</si>
  <si>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</si>
  <si>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</si>
  <si>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</si>
  <si>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</si>
  <si>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</si>
  <si>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</si>
  <si>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</si>
  <si>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</si>
  <si>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</si>
  <si>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</si>
  <si>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</si>
  <si>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</si>
  <si>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</si>
  <si>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</si>
  <si>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</si>
  <si>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</si>
  <si>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</si>
  <si>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</si>
  <si>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</si>
  <si>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</si>
  <si>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</si>
  <si>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</si>
  <si>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</si>
  <si>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</si>
  <si>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</si>
  <si>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</si>
  <si>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</si>
  <si>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</si>
  <si>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</si>
  <si>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</si>
  <si>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</si>
  <si>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</si>
  <si>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</si>
  <si>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</si>
  <si>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</si>
  <si>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</si>
  <si>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</si>
  <si>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</si>
  <si>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</si>
  <si>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</si>
  <si>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</si>
  <si>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</si>
  <si>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</si>
  <si>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</si>
  <si>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</si>
  <si>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</si>
  <si>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</si>
  <si>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</si>
  <si>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</si>
  <si>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</si>
  <si>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</si>
  <si>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</si>
  <si>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</si>
  <si>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</si>
  <si>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</si>
  <si>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</si>
  <si>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</si>
  <si>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</si>
  <si>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</si>
  <si>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</si>
  <si>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</si>
  <si>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</si>
  <si>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</si>
  <si>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</si>
  <si>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</si>
  <si>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</si>
  <si>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</si>
  <si>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</si>
  <si>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</si>
  <si>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</si>
  <si>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</si>
  <si>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</si>
  <si>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</si>
  <si>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</si>
  <si>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</si>
  <si>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</si>
  <si>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</si>
  <si>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</si>
  <si>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</si>
  <si>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</si>
  <si>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</si>
  <si>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</si>
  <si>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</si>
  <si>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</si>
  <si>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</si>
  <si>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</si>
  <si>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</si>
  <si>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</si>
  <si>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</si>
  <si>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</si>
  <si>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</si>
  <si>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</si>
  <si>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</si>
  <si>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</si>
  <si>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</si>
  <si>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</si>
  <si>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</si>
  <si>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</si>
  <si>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</si>
  <si>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</si>
  <si>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</si>
  <si>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</si>
  <si>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</si>
  <si>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</si>
  <si>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</si>
  <si>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</si>
  <si>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</si>
  <si>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</si>
  <si>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</si>
  <si>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</si>
  <si>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</si>
  <si>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</si>
  <si>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</si>
  <si>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</si>
  <si>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</si>
  <si>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</si>
  <si>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</si>
  <si>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</si>
  <si>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</si>
  <si>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</si>
  <si>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</si>
  <si>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</si>
  <si>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</si>
  <si>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</si>
  <si>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</si>
  <si>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</si>
  <si>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</si>
  <si>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</si>
  <si>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</si>
  <si>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</si>
  <si>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</si>
  <si>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</si>
  <si>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</si>
  <si>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</si>
  <si>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</si>
  <si>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</si>
  <si>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</si>
  <si>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</si>
  <si>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</si>
  <si>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</si>
  <si>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</si>
  <si>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</si>
  <si>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</si>
  <si>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</si>
  <si>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</si>
  <si>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</si>
  <si>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</si>
  <si>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</si>
  <si>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</si>
  <si>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</si>
  <si>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</si>
  <si>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</si>
  <si>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</si>
  <si>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</si>
  <si>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</si>
  <si>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</si>
  <si>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</si>
  <si>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</si>
  <si>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</si>
  <si>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</si>
  <si>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</si>
  <si>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</si>
  <si>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</si>
  <si>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</si>
  <si>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</si>
  <si>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</si>
  <si>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</si>
  <si>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</si>
  <si>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</si>
  <si>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</si>
  <si>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</si>
  <si>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</si>
  <si>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</si>
  <si>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</si>
  <si>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</si>
  <si>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</si>
  <si>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</si>
  <si>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</si>
  <si>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</si>
  <si>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</si>
  <si>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</si>
  <si>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</si>
  <si>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</si>
  <si>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</si>
  <si>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</si>
  <si>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</si>
  <si>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</si>
  <si>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</si>
  <si>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</si>
  <si>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</si>
  <si>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</si>
  <si>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</si>
  <si>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</si>
  <si>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</si>
  <si>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</si>
  <si>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</si>
  <si>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</si>
  <si>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</si>
  <si>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</si>
  <si>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</si>
  <si>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</si>
  <si>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</si>
  <si>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</si>
  <si>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</si>
  <si>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</si>
  <si>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</si>
  <si>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</si>
  <si>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</si>
  <si>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</si>
  <si>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</si>
  <si>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</si>
  <si>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</si>
  <si>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</si>
  <si>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</si>
  <si>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</si>
  <si>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</si>
  <si>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</si>
  <si>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</si>
  <si>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</si>
  <si>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</si>
  <si>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</si>
  <si>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</si>
  <si>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</si>
  <si>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</si>
  <si>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</si>
  <si>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</si>
  <si>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</si>
  <si>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</si>
  <si>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</si>
  <si>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</si>
  <si>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</si>
  <si>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</si>
  <si>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</si>
  <si>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</si>
  <si>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</si>
  <si>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</si>
  <si>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</si>
  <si>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</si>
  <si>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</si>
  <si>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</si>
  <si>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</si>
  <si>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</si>
  <si>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</si>
  <si>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</si>
  <si>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</si>
  <si>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</si>
  <si>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</si>
  <si>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</si>
  <si>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</si>
  <si>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</si>
  <si>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</si>
  <si>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</si>
  <si>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</si>
  <si>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</si>
  <si>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</si>
  <si>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</si>
  <si>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</si>
  <si>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</si>
  <si>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</si>
  <si>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</si>
  <si>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</si>
  <si>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</si>
  <si>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</si>
  <si>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</si>
  <si>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</si>
  <si>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</si>
  <si>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</si>
  <si>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</si>
  <si>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</si>
  <si>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</si>
  <si>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</si>
  <si>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</si>
  <si>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</si>
  <si>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</si>
  <si>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</si>
  <si>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</si>
  <si>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</si>
  <si>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</si>
  <si>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</si>
  <si>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</si>
  <si>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</si>
  <si>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</si>
  <si>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</si>
  <si>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</si>
  <si>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</si>
  <si>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</si>
  <si>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</si>
  <si>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</si>
  <si>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</si>
  <si>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</si>
  <si>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</si>
  <si>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</si>
  <si>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</si>
  <si>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</si>
  <si>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</si>
  <si>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</si>
  <si>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</si>
  <si>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</si>
  <si>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</si>
  <si>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</si>
  <si>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</si>
  <si>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</si>
  <si>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</si>
  <si>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</si>
  <si>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</si>
  <si>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</si>
  <si>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</si>
  <si>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</si>
  <si>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</si>
  <si>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</si>
  <si>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</si>
  <si>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</si>
  <si>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</si>
  <si>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</si>
  <si>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</si>
  <si>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</si>
  <si>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</si>
  <si>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</si>
  <si>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</si>
  <si>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</si>
  <si>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</si>
  <si>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</si>
  <si>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</si>
  <si>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</si>
  <si>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</si>
  <si>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</si>
  <si>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</si>
  <si>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</si>
  <si>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</si>
  <si>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</si>
  <si>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</si>
  <si>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</si>
  <si>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</si>
  <si>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</si>
  <si>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</si>
  <si>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</si>
  <si>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</si>
  <si>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</si>
  <si>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</si>
  <si>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</si>
  <si>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</si>
  <si>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</si>
  <si>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</si>
  <si>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</si>
  <si>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</si>
  <si>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</si>
  <si>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</si>
  <si>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</si>
  <si>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</si>
  <si>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</si>
  <si>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</si>
  <si>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</si>
  <si>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</si>
  <si>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</si>
  <si>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</si>
  <si>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</si>
  <si>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</si>
  <si>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</si>
  <si>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</si>
  <si>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</si>
  <si>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</si>
  <si>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</si>
  <si>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</si>
  <si>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</si>
  <si>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</si>
  <si>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</si>
  <si>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</si>
  <si>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</si>
  <si>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</si>
  <si>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</si>
  <si>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</si>
  <si>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</si>
  <si>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</si>
  <si>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</si>
  <si>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</si>
  <si>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</si>
  <si>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</si>
  <si>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</si>
  <si>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</si>
  <si>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</si>
  <si>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</si>
  <si>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</si>
  <si>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</si>
  <si>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</si>
  <si>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</si>
  <si>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</si>
  <si>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</si>
  <si>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</si>
  <si>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</si>
  <si>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</si>
  <si>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</si>
  <si>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</si>
  <si>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</si>
  <si>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</si>
  <si>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</si>
  <si>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</si>
  <si>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</si>
  <si>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</si>
  <si>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</si>
  <si>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</si>
  <si>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</si>
  <si>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</si>
  <si>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</si>
  <si>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</si>
  <si>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</si>
  <si>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</si>
  <si>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</si>
  <si>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</si>
  <si>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</si>
  <si>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</si>
  <si>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</si>
  <si>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</si>
  <si>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</si>
  <si>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</si>
  <si>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</si>
  <si>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</si>
  <si>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</si>
  <si>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</si>
  <si>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</si>
  <si>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</si>
  <si>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</si>
  <si>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</si>
  <si>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</si>
  <si>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</si>
  <si>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</si>
  <si>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</si>
  <si>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</si>
  <si>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</si>
  <si>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</si>
  <si>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</si>
  <si>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</si>
  <si>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</si>
  <si>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</si>
  <si>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</si>
  <si>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</si>
  <si>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</si>
  <si>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</si>
  <si>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</si>
  <si>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</si>
  <si>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</si>
  <si>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</si>
  <si>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</si>
  <si>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</si>
  <si>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</si>
  <si>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</si>
  <si>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</si>
  <si>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</si>
  <si>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</si>
  <si>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</si>
  <si>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</si>
  <si>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</si>
  <si>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</si>
  <si>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</si>
  <si>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</si>
  <si>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</si>
  <si>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</si>
  <si>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</si>
  <si>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</si>
  <si>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</si>
  <si>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</si>
  <si>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</si>
  <si>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</si>
  <si>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</si>
  <si>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</si>
  <si>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</si>
  <si>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</si>
  <si>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</si>
  <si>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</si>
  <si>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</si>
  <si>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</si>
  <si>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</si>
  <si>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</si>
  <si>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</si>
  <si>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</si>
  <si>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</si>
  <si>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</si>
  <si>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</si>
  <si>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</si>
  <si>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</si>
  <si>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</si>
  <si>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</si>
  <si>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</si>
  <si>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</si>
  <si>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</si>
  <si>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</si>
  <si>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</si>
  <si>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</si>
  <si>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</si>
  <si>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</si>
  <si>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</si>
  <si>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</si>
  <si>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</si>
  <si>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</si>
  <si>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</si>
  <si>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</si>
  <si>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</si>
  <si>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</si>
  <si>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</si>
  <si>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</si>
  <si>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</si>
  <si>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</si>
  <si>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</si>
  <si>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</si>
  <si>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</si>
  <si>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</si>
  <si>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</si>
  <si>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</si>
  <si>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</si>
  <si>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</si>
  <si>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</si>
  <si>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</si>
  <si>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</si>
  <si>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</si>
  <si>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</si>
  <si>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</si>
  <si>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</si>
  <si>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</si>
  <si>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</si>
  <si>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</si>
  <si>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</si>
  <si>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</si>
  <si>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</si>
  <si>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</si>
  <si>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</si>
  <si>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</si>
  <si>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</si>
  <si>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</si>
  <si>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</si>
  <si>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</si>
  <si>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</si>
  <si>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</si>
  <si>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</si>
  <si>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</si>
  <si>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</si>
  <si>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</si>
  <si>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</si>
  <si>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</si>
  <si>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</si>
  <si>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</si>
  <si>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</si>
  <si>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</si>
  <si>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</si>
  <si>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</si>
  <si>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</si>
  <si>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</si>
  <si>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</si>
  <si>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</si>
  <si>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</si>
  <si>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</si>
  <si>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</si>
  <si>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</si>
  <si>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</si>
  <si>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</si>
  <si>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</si>
  <si>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</si>
  <si>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</si>
  <si>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</si>
  <si>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</si>
  <si>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</si>
  <si>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</si>
  <si>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</si>
  <si>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</si>
  <si>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</si>
  <si>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</si>
  <si>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</si>
  <si>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</si>
  <si>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</si>
  <si>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</si>
  <si>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</si>
  <si>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</si>
  <si>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</si>
  <si>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</si>
  <si>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</si>
  <si>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</si>
  <si>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</si>
  <si>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</si>
  <si>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</si>
  <si>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</si>
  <si>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</si>
  <si>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</si>
  <si>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</si>
  <si>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</si>
  <si>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</si>
  <si>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</si>
  <si>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</si>
  <si>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</si>
  <si>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</si>
  <si>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</si>
  <si>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</si>
  <si>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</si>
  <si>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</si>
  <si>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</si>
  <si>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</si>
  <si>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</si>
  <si>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</si>
  <si>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</si>
  <si>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</si>
  <si>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</si>
  <si>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</si>
  <si>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</si>
  <si>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</si>
  <si>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</si>
  <si>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</si>
  <si>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</si>
  <si>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</si>
  <si>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</si>
  <si>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</si>
  <si>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</si>
  <si>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</si>
  <si>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</si>
  <si>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</si>
  <si>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</si>
  <si>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</si>
  <si>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</si>
  <si>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</si>
  <si>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</si>
  <si>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</si>
  <si>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</si>
  <si>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</si>
  <si>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</si>
  <si>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</si>
  <si>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</si>
  <si>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</si>
  <si>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</si>
  <si>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</si>
  <si>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</si>
  <si>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</si>
  <si>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</si>
  <si>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</si>
  <si>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</si>
  <si>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</si>
  <si>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</si>
  <si>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</si>
  <si>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</si>
  <si>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</si>
  <si>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</si>
  <si>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</si>
  <si>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</si>
  <si>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</si>
  <si>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</si>
  <si>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</si>
  <si>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</si>
  <si>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</si>
  <si>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</si>
  <si>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</si>
  <si>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</si>
  <si>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</si>
  <si>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</si>
  <si>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</si>
  <si>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</si>
  <si>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</si>
  <si>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</si>
  <si>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</si>
  <si>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</si>
  <si>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</si>
  <si>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</si>
  <si>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</si>
  <si>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</si>
  <si>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</si>
  <si>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</si>
  <si>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</si>
  <si>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</si>
  <si>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</si>
  <si>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</si>
  <si>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</si>
  <si>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</si>
  <si>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</si>
  <si>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</si>
  <si>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</si>
  <si>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</si>
  <si>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</si>
  <si>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</si>
  <si>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</si>
  <si>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</si>
  <si>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</si>
  <si>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</si>
  <si>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</si>
  <si>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</si>
  <si>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</si>
  <si>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</si>
  <si>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</si>
  <si>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</si>
  <si>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</si>
  <si>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</si>
  <si>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</si>
  <si>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</si>
  <si>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</si>
  <si>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</si>
  <si>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</si>
  <si>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</si>
  <si>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</si>
  <si>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</si>
  <si>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</si>
  <si>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</si>
  <si>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</si>
  <si>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</si>
  <si>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</si>
  <si>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</si>
  <si>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</si>
  <si>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</si>
  <si>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</si>
  <si>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</si>
  <si>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</si>
  <si>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</si>
  <si>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</si>
  <si>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</si>
  <si>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</si>
  <si>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</si>
  <si>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</si>
  <si>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</si>
  <si>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</si>
  <si>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</si>
  <si>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</si>
  <si>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</si>
  <si>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</si>
  <si>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</si>
  <si>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</si>
  <si>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</si>
  <si>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</si>
  <si>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</si>
  <si>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</si>
  <si>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</si>
  <si>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</si>
  <si>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</si>
  <si>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</si>
  <si>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</si>
  <si>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</si>
  <si>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</si>
  <si>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</si>
  <si>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</si>
  <si>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</si>
  <si>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</si>
  <si>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</si>
  <si>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</si>
  <si>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</si>
  <si>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</si>
  <si>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</si>
  <si>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</si>
  <si>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</si>
  <si>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</si>
  <si>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</si>
  <si>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</si>
  <si>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</si>
  <si>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</si>
  <si>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</si>
  <si>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</si>
  <si>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</si>
  <si>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</si>
  <si>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</si>
  <si>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</si>
  <si>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</si>
  <si>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</si>
  <si>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</si>
  <si>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</si>
  <si>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</si>
  <si>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</si>
  <si>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</si>
  <si>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</si>
  <si>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</si>
  <si>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</si>
  <si>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</si>
  <si>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</si>
  <si>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</si>
  <si>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</si>
  <si>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</si>
  <si>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</si>
  <si>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</si>
  <si>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</si>
  <si>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</si>
  <si>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</si>
  <si>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</si>
  <si>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</si>
  <si>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</si>
  <si>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</si>
  <si>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</si>
  <si>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</si>
  <si>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</si>
  <si>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</si>
  <si>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</si>
  <si>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</si>
  <si>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</si>
  <si>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</si>
  <si>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</si>
  <si>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</si>
  <si>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</si>
  <si>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</si>
  <si>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</si>
  <si>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</si>
  <si>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</si>
  <si>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</si>
  <si>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</si>
  <si>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</si>
  <si>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</si>
  <si>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</si>
  <si>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</si>
  <si>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</si>
  <si>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</si>
  <si>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</si>
  <si>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</si>
  <si>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</si>
  <si>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</si>
  <si>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</si>
  <si>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</si>
  <si>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</si>
  <si>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</si>
  <si>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</si>
  <si>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</si>
  <si>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</si>
  <si>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</si>
  <si>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</si>
  <si>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</si>
  <si>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</si>
  <si>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</si>
  <si>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</si>
  <si>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</si>
  <si>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</si>
  <si>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</si>
  <si>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</si>
  <si>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</si>
  <si>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</si>
  <si>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</si>
  <si>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</si>
  <si>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</si>
  <si>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</si>
  <si>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</si>
  <si>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</si>
  <si>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</si>
  <si>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</si>
  <si>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</si>
  <si>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</si>
  <si>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</si>
  <si>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</si>
  <si>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</si>
  <si>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</si>
  <si>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</si>
  <si>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</si>
  <si>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</si>
  <si>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</si>
  <si>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</si>
  <si>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</si>
  <si>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</si>
  <si>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</si>
  <si>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</si>
  <si>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</si>
  <si>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</si>
  <si>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</si>
  <si>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</si>
  <si>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</si>
  <si>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</si>
  <si>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</si>
  <si>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</si>
  <si>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</si>
  <si>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</si>
  <si>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</si>
  <si>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</si>
  <si>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</si>
  <si>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</si>
  <si>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</si>
  <si>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</si>
  <si>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</si>
  <si>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</si>
  <si>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</si>
  <si>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</si>
  <si>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</si>
  <si>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</si>
  <si>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</si>
  <si>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</si>
  <si>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</si>
  <si>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</si>
  <si>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</si>
  <si>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</si>
  <si>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</si>
  <si>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</si>
  <si>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</si>
  <si>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</si>
  <si>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</si>
  <si>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</si>
  <si>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</si>
  <si>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</si>
  <si>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</si>
  <si>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</si>
  <si>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</si>
  <si>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</si>
  <si>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</si>
  <si>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</si>
  <si>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</si>
  <si>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</si>
  <si>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</si>
  <si>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</si>
  <si>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</si>
  <si>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</si>
  <si>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</si>
  <si>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</si>
  <si>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</si>
  <si>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</si>
  <si>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</si>
  <si>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</si>
  <si>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</si>
  <si>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</si>
  <si>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</si>
  <si>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</si>
  <si>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</si>
  <si>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</si>
  <si>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</si>
  <si>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</si>
  <si>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</si>
  <si>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</si>
  <si>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</si>
  <si>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</si>
  <si>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</si>
  <si>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</si>
  <si>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</si>
  <si>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</si>
  <si>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</si>
  <si>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</si>
  <si>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</si>
  <si>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</si>
  <si>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</si>
  <si>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</si>
  <si>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</si>
  <si>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</si>
  <si>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</si>
  <si>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</si>
  <si>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</si>
  <si>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</si>
  <si>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</si>
  <si>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</si>
  <si>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</si>
  <si>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</si>
  <si>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</si>
  <si>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</si>
  <si>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</si>
  <si>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</si>
  <si>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</si>
  <si>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</si>
  <si>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</si>
  <si>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</si>
  <si>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</si>
  <si>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</si>
  <si>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</si>
  <si>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</si>
  <si>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</si>
  <si>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</si>
  <si>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</si>
  <si>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</si>
  <si>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</si>
  <si>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</si>
  <si>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</si>
  <si>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</si>
  <si>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</si>
  <si>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</si>
  <si>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</si>
  <si>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</si>
  <si>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</si>
  <si>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</si>
  <si>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</si>
  <si>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</si>
  <si>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</si>
  <si>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</si>
  <si>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</si>
  <si>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</si>
  <si>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</si>
  <si>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</si>
  <si>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</si>
  <si>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</si>
  <si>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</si>
  <si>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</si>
  <si>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</si>
  <si>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</si>
  <si>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</si>
  <si>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</si>
  <si>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</si>
  <si>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</si>
  <si>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</si>
  <si>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</si>
  <si>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</si>
  <si>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</si>
  <si>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</si>
  <si>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</si>
  <si>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</si>
  <si>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</si>
  <si>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</si>
  <si>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</si>
  <si>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</si>
  <si>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</si>
  <si>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</si>
  <si>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</si>
  <si>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</si>
  <si>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</si>
  <si>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</si>
  <si>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</si>
  <si>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</si>
  <si>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</si>
  <si>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</si>
  <si>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</si>
  <si>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</si>
  <si>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</si>
  <si>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</si>
  <si>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</si>
  <si>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</si>
  <si>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</si>
  <si>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</si>
  <si>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</si>
  <si>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</si>
  <si>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</si>
  <si>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</si>
  <si>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</si>
  <si>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</si>
  <si>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</si>
  <si>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</si>
  <si>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</si>
  <si>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</si>
  <si>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</si>
  <si>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</si>
  <si>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</si>
  <si>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</si>
  <si>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</si>
  <si>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</si>
  <si>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</si>
  <si>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</si>
  <si>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</si>
  <si>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</si>
  <si>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</si>
  <si>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</si>
  <si>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</si>
  <si>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</si>
  <si>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</si>
  <si>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</si>
  <si>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</si>
  <si>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</si>
  <si>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</si>
  <si>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</si>
  <si>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</si>
  <si>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</si>
  <si>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</si>
  <si>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</si>
  <si>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</si>
  <si>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</si>
  <si>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</si>
  <si>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</si>
  <si>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</si>
  <si>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</si>
  <si>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</si>
  <si>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</si>
  <si>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</si>
  <si>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</si>
  <si>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</si>
  <si>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</si>
  <si>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</si>
  <si>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</si>
  <si>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</si>
  <si>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</si>
  <si>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</si>
  <si>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</si>
  <si>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</si>
  <si>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</si>
  <si>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</si>
  <si>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</si>
  <si>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</si>
  <si>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</si>
  <si>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</si>
  <si>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</si>
  <si>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</si>
  <si>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</si>
  <si>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</si>
  <si>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</si>
  <si>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</si>
  <si>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</si>
  <si>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</si>
  <si>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</si>
  <si>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</si>
  <si>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</si>
  <si>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</si>
  <si>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</si>
  <si>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</si>
  <si>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</si>
  <si>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</si>
  <si>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</si>
  <si>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</si>
  <si>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</si>
  <si>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</si>
  <si>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</si>
  <si>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</si>
  <si>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</si>
  <si>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</si>
  <si>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</si>
  <si>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</si>
  <si>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</si>
  <si>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</si>
  <si>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</si>
  <si>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</si>
  <si>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</si>
  <si>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</si>
  <si>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</si>
  <si>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</si>
  <si>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</si>
  <si>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</si>
  <si>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</si>
  <si>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</si>
  <si>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</si>
  <si>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</si>
  <si>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</si>
  <si>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</si>
  <si>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</si>
  <si>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</si>
  <si>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</si>
  <si>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</si>
  <si>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</si>
  <si>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</si>
  <si>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</si>
  <si>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</si>
  <si>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</si>
  <si>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</si>
  <si>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</si>
  <si>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</si>
  <si>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</si>
  <si>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</si>
  <si>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</si>
  <si>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</si>
  <si>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</si>
  <si>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</si>
  <si>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</si>
  <si>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</si>
  <si>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</si>
  <si>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</si>
  <si>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</si>
  <si>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</si>
  <si>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</si>
  <si>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</si>
  <si>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</si>
  <si>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</si>
  <si>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</si>
  <si>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</si>
  <si>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</si>
  <si>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</si>
  <si>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</si>
  <si>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</si>
  <si>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</si>
  <si>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</si>
  <si>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</si>
  <si>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</si>
  <si>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</si>
  <si>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</si>
  <si>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</si>
  <si>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</si>
  <si>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</si>
  <si>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</si>
  <si>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</si>
  <si>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</si>
  <si>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</si>
  <si>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</si>
  <si>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</si>
  <si>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</si>
  <si>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</si>
  <si>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</si>
  <si>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</si>
  <si>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</si>
  <si>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</si>
  <si>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</si>
  <si>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</si>
  <si>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</si>
  <si>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</si>
  <si>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</si>
  <si>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</si>
  <si>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</si>
  <si>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</si>
  <si>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</si>
  <si>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</si>
  <si>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</si>
  <si>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</si>
  <si>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</si>
  <si>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</si>
  <si>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</si>
  <si>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</si>
  <si>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</si>
  <si>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</si>
  <si>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</si>
  <si>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</si>
  <si>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</si>
  <si>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</si>
  <si>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</si>
  <si>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</si>
  <si>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</si>
  <si>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</si>
  <si>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</si>
  <si>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</si>
  <si>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</si>
  <si>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</si>
  <si>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</si>
  <si>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</si>
  <si>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</si>
  <si>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</si>
  <si>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</si>
  <si>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</si>
  <si>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</si>
  <si>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</si>
  <si>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</si>
  <si>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</si>
  <si>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</si>
  <si>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</si>
  <si>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</si>
  <si>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</si>
  <si>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</si>
  <si>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</si>
  <si>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</si>
  <si>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</si>
  <si>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</si>
  <si>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</si>
  <si>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</si>
  <si>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</si>
  <si>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</si>
  <si>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</si>
  <si>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</si>
  <si>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</si>
  <si>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</si>
  <si>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</si>
  <si>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</si>
  <si>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</si>
  <si>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</si>
  <si>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</si>
  <si>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</si>
  <si>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</si>
  <si>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</si>
  <si>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</si>
  <si>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</si>
  <si>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</si>
  <si>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</si>
  <si>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</si>
  <si>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</si>
  <si>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</si>
  <si>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</si>
  <si>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</si>
  <si>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</si>
  <si>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</si>
  <si>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</si>
  <si>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</si>
  <si>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</si>
  <si>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</si>
  <si>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</si>
  <si>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</si>
  <si>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</si>
  <si>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</si>
  <si>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</si>
  <si>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</si>
  <si>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</si>
  <si>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</si>
  <si>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</si>
  <si>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</si>
  <si>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</si>
  <si>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</si>
  <si>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</si>
  <si>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</si>
  <si>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</si>
  <si>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</si>
  <si>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</si>
  <si>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</si>
  <si>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</si>
  <si>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</si>
  <si>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</si>
  <si>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</si>
  <si>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</si>
  <si>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</si>
  <si>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</si>
  <si>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</si>
  <si>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</si>
  <si>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</si>
  <si>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</si>
  <si>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</si>
  <si>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</si>
  <si>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</si>
  <si>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</si>
  <si>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</si>
  <si>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</si>
  <si>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</si>
  <si>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</si>
  <si>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</si>
  <si>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</si>
  <si>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</si>
  <si>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</si>
  <si>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</si>
  <si>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</si>
  <si>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</si>
  <si>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</si>
  <si>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</si>
  <si>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</si>
  <si>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</si>
  <si>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</si>
  <si>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</si>
  <si>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</si>
  <si>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</si>
  <si>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</si>
  <si>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</si>
  <si>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</si>
  <si>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</si>
  <si>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</si>
  <si>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</si>
  <si>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</si>
  <si>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</si>
  <si>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</si>
  <si>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</si>
  <si>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</si>
  <si>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</si>
  <si>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</si>
  <si>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</si>
  <si>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</si>
  <si>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</si>
  <si>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</si>
  <si>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</si>
  <si>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</si>
  <si>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</si>
  <si>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</si>
  <si>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</si>
  <si>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</si>
  <si>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</si>
  <si>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</si>
  <si>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</si>
  <si>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</si>
  <si>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</si>
  <si>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</si>
  <si>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</si>
  <si>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</si>
  <si>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</si>
  <si>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</si>
  <si>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</si>
  <si>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</si>
  <si>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</si>
  <si>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</si>
  <si>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</si>
  <si>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</si>
  <si>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</si>
  <si>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</si>
  <si>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</si>
  <si>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</si>
  <si>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</si>
  <si>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</si>
  <si>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</si>
  <si>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</si>
  <si>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</si>
  <si>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</si>
  <si>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</si>
  <si>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</si>
  <si>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</si>
  <si>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</si>
  <si>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</si>
  <si>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</si>
  <si>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</si>
  <si>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</si>
  <si>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</si>
  <si>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</si>
  <si>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</si>
  <si>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</si>
  <si>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</si>
  <si>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</si>
  <si>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</si>
  <si>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</si>
  <si>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</si>
  <si>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</si>
  <si>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</si>
  <si>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</si>
  <si>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</si>
  <si>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</si>
  <si>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</si>
  <si>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</si>
  <si>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</si>
  <si>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</si>
  <si>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</si>
  <si>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</si>
  <si>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</si>
  <si>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</si>
  <si>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</si>
  <si>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</si>
  <si>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</si>
  <si>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</si>
  <si>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</si>
  <si>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</si>
  <si>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</si>
  <si>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</si>
  <si>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</si>
  <si>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</si>
  <si>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</si>
  <si>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</si>
  <si>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</si>
  <si>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</si>
  <si>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</si>
  <si>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</si>
  <si>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</si>
  <si>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</si>
  <si>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</si>
  <si>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</si>
  <si>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</si>
  <si>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</si>
  <si>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</si>
  <si>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</si>
  <si>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</si>
  <si>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</si>
  <si>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</si>
  <si>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</si>
  <si>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</si>
  <si>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</si>
  <si>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</si>
  <si>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</si>
  <si>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</si>
  <si>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</si>
  <si>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</si>
  <si>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</si>
  <si>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</si>
  <si>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</si>
  <si>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</si>
  <si>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</si>
  <si>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</si>
  <si>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</si>
  <si>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</si>
  <si>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</si>
  <si>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</si>
  <si>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</si>
  <si>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</si>
  <si>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</si>
  <si>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</si>
  <si>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</si>
  <si>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</si>
  <si>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</si>
  <si>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</si>
  <si>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</si>
  <si>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</si>
  <si>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</si>
  <si>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</si>
  <si>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</si>
  <si>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</si>
  <si>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</si>
  <si>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</si>
  <si>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</si>
  <si>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</si>
  <si>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</si>
  <si>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</si>
  <si>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</si>
  <si>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</si>
  <si>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</si>
  <si>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</si>
  <si>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</si>
  <si>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</si>
  <si>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</si>
  <si>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</si>
  <si>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</si>
  <si>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</si>
  <si>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</si>
  <si>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</si>
  <si>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</si>
  <si>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</si>
  <si>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</si>
  <si>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</si>
  <si>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</si>
  <si>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</si>
  <si>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</si>
  <si>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</si>
  <si>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</si>
  <si>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</si>
  <si>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</si>
  <si>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</si>
  <si>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</si>
  <si>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</si>
  <si>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</si>
  <si>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</si>
  <si>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</si>
  <si>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</si>
  <si>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</si>
  <si>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</si>
  <si>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</si>
  <si>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</si>
  <si>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</si>
  <si>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</si>
  <si>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</si>
  <si>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</si>
  <si>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</si>
  <si>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</si>
  <si>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</si>
  <si>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</si>
  <si>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</si>
  <si>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</si>
  <si>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</si>
  <si>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</si>
  <si>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</si>
  <si>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</si>
  <si>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</si>
  <si>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</si>
  <si>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</si>
  <si>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</si>
  <si>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</si>
  <si>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</si>
  <si>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</si>
  <si>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</si>
  <si>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</si>
  <si>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</si>
  <si>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</si>
  <si>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</si>
  <si>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</si>
  <si>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</si>
  <si>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</si>
  <si>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</si>
  <si>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</si>
  <si>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</si>
  <si>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</si>
  <si>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</si>
  <si>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</si>
  <si>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</si>
  <si>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</si>
  <si>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</si>
  <si>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</si>
  <si>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</si>
  <si>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</si>
  <si>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</si>
  <si>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</si>
  <si>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</si>
  <si>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</si>
  <si>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</si>
  <si>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</si>
  <si>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</si>
  <si>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</si>
  <si>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</si>
  <si>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</si>
  <si>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</si>
  <si>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</si>
  <si>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</si>
  <si>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</si>
  <si>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</si>
  <si>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</si>
  <si>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</si>
  <si>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</si>
  <si>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</si>
  <si>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</si>
  <si>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</si>
  <si>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</si>
  <si>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</si>
  <si>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</si>
  <si>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</si>
  <si>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</si>
  <si>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</si>
  <si>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</si>
  <si>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</si>
  <si>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</si>
  <si>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</si>
  <si>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</si>
  <si>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</si>
  <si>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</si>
  <si>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</si>
  <si>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</si>
  <si>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</si>
  <si>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</si>
  <si>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</si>
  <si>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</si>
  <si>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</si>
  <si>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</si>
  <si>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</si>
  <si>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</si>
  <si>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</si>
  <si>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</si>
  <si>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</si>
  <si>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</si>
  <si>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</si>
  <si>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</si>
  <si>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</si>
  <si>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</si>
  <si>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</si>
  <si>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</si>
  <si>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</si>
  <si>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</si>
  <si>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</si>
  <si>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</si>
  <si>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</si>
  <si>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</si>
  <si>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</si>
  <si>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</si>
  <si>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</si>
  <si>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</si>
  <si>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</si>
  <si>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</si>
  <si>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</si>
  <si>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</si>
  <si>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</si>
  <si>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</si>
  <si>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</si>
  <si>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</si>
  <si>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</si>
  <si>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</si>
  <si>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</si>
  <si>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</si>
  <si>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</si>
  <si>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</si>
  <si>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</si>
  <si>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</si>
  <si>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</si>
  <si>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</si>
  <si>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</si>
  <si>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</si>
  <si>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</si>
  <si>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</si>
  <si>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</si>
  <si>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</si>
  <si>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</si>
  <si>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</si>
  <si>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</si>
  <si>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</si>
  <si>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</si>
  <si>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</si>
  <si>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</si>
  <si>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</si>
  <si>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</si>
  <si>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</si>
  <si>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</si>
  <si>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</si>
  <si>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</si>
  <si>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</si>
  <si>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</si>
  <si>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</si>
  <si>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</si>
  <si>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</si>
  <si>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</si>
  <si>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</si>
  <si>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</si>
  <si>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</si>
  <si>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</si>
  <si>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</si>
  <si>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</si>
  <si>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</si>
  <si>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</si>
  <si>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</si>
  <si>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</si>
  <si>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</si>
  <si>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</si>
  <si>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</si>
  <si>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</si>
  <si>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</si>
  <si>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</si>
  <si>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</si>
  <si>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</si>
  <si>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</si>
  <si>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</si>
  <si>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</si>
  <si>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</si>
  <si>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</si>
  <si>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</si>
  <si>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</si>
  <si>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</si>
  <si>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</si>
  <si>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</si>
  <si>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</si>
  <si>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</si>
  <si>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</si>
  <si>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</si>
  <si>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</si>
  <si>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</si>
  <si>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</si>
  <si>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</si>
  <si>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</si>
  <si>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</si>
  <si>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</si>
  <si>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</si>
  <si>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</si>
  <si>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</si>
  <si>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</si>
  <si>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</si>
  <si>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</si>
  <si>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</si>
  <si>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</si>
  <si>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</si>
  <si>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</si>
  <si>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</si>
  <si>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</si>
  <si>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</si>
  <si>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</si>
  <si>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</si>
  <si>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</si>
  <si>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</si>
  <si>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</si>
  <si>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</si>
  <si>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</si>
  <si>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</si>
  <si>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</si>
  <si>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</si>
  <si>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</si>
  <si>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</si>
  <si>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</si>
  <si>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</si>
  <si>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</si>
  <si>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</si>
  <si>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</si>
  <si>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</si>
  <si>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</si>
  <si>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</si>
  <si>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</si>
  <si>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</si>
  <si>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</si>
  <si>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</si>
  <si>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</si>
  <si>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</si>
  <si>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</si>
  <si>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</si>
  <si>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</si>
  <si>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</si>
  <si>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</si>
  <si>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</si>
  <si>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</si>
  <si>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</si>
  <si>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</si>
  <si>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</si>
  <si>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</si>
  <si>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</si>
  <si>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</si>
  <si>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</si>
  <si>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</si>
  <si>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</si>
  <si>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</si>
  <si>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</si>
  <si>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</si>
  <si>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</si>
  <si>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</si>
  <si>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</si>
  <si>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</si>
  <si>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</si>
  <si>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</si>
  <si>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</si>
  <si>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</si>
  <si>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</si>
  <si>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</si>
  <si>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</si>
  <si>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</si>
  <si>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</si>
  <si>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</si>
  <si>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</si>
  <si>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</si>
  <si>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</si>
  <si>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</si>
  <si>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</si>
  <si>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</si>
  <si>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</si>
  <si>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</si>
  <si>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</si>
  <si>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</si>
  <si>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</si>
  <si>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</si>
  <si>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</si>
  <si>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</si>
  <si>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</si>
  <si>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</si>
  <si>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</si>
  <si>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</si>
  <si>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</si>
  <si>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</si>
  <si>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</si>
  <si>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</si>
  <si>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</si>
  <si>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</si>
  <si>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</si>
  <si>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</si>
  <si>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</si>
  <si>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</si>
  <si>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</si>
  <si>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</si>
  <si>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</si>
  <si>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</si>
  <si>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</si>
  <si>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</si>
  <si>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</si>
  <si>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</si>
  <si>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</si>
  <si>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</si>
  <si>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</si>
  <si>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</si>
  <si>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</si>
  <si>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</si>
  <si>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</si>
  <si>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</si>
  <si>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</si>
  <si>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</si>
  <si>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</si>
  <si>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</si>
  <si>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</si>
  <si>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</si>
  <si>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</si>
  <si>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</si>
  <si>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</si>
  <si>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</si>
  <si>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</si>
  <si>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</si>
  <si>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</si>
  <si>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</si>
  <si>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</si>
  <si>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</si>
  <si>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</si>
  <si>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</si>
  <si>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</si>
  <si>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</si>
  <si>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</si>
  <si>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</si>
  <si>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</si>
  <si>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</si>
  <si>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</si>
  <si>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</si>
  <si>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</si>
  <si>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</si>
  <si>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</si>
  <si>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</si>
  <si>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</si>
  <si>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</si>
  <si>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</si>
  <si>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</si>
  <si>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</si>
  <si>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</si>
  <si>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</si>
  <si>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</si>
  <si>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</si>
  <si>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</si>
  <si>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</si>
  <si>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</si>
  <si>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</si>
  <si>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</si>
  <si>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</si>
  <si>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</si>
  <si>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</si>
  <si>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</si>
  <si>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</si>
  <si>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</si>
  <si>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</si>
  <si>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</si>
  <si>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</si>
  <si>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</si>
  <si>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</si>
  <si>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</si>
  <si>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</si>
  <si>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</si>
  <si>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</si>
  <si>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</si>
  <si>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</si>
  <si>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</si>
  <si>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</si>
  <si>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</si>
  <si>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</si>
  <si>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</si>
  <si>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</si>
  <si>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</si>
  <si>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</si>
  <si>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</si>
  <si>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</si>
  <si>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</si>
  <si>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</si>
  <si>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</si>
  <si>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</si>
  <si>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</si>
  <si>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</si>
  <si>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</si>
  <si>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</si>
  <si>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</si>
  <si>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</si>
  <si>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</si>
  <si>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</si>
  <si>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</si>
  <si>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</si>
  <si>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</si>
  <si>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</si>
  <si>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</si>
  <si>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</si>
  <si>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</si>
  <si>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</si>
  <si>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</si>
  <si>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</si>
  <si>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</si>
  <si>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</si>
  <si>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</si>
  <si>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</si>
  <si>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</si>
  <si>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</si>
  <si>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</si>
  <si>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</si>
  <si>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</si>
  <si>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</si>
  <si>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</si>
  <si>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</si>
  <si>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</si>
  <si>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</si>
  <si>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</si>
  <si>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</si>
  <si>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</si>
  <si>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</si>
  <si>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</si>
  <si>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</si>
  <si>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</si>
  <si>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</si>
  <si>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</si>
  <si>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</si>
  <si>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</si>
  <si>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</si>
  <si>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</si>
  <si>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</si>
  <si>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</si>
  <si>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</si>
  <si>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</si>
  <si>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</si>
  <si>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</si>
  <si>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</si>
  <si>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</si>
  <si>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</si>
  <si>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</si>
  <si>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</si>
  <si>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</si>
  <si>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</si>
  <si>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</si>
  <si>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</si>
  <si>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</si>
  <si>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</si>
  <si>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</si>
  <si>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</si>
  <si>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</si>
  <si>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</si>
  <si>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</si>
  <si>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</si>
  <si>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</si>
  <si>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</si>
  <si>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</si>
  <si>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</si>
  <si>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</si>
  <si>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</si>
  <si>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</si>
  <si>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</si>
  <si>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</si>
  <si>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</si>
  <si>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</si>
  <si>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</si>
  <si>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</si>
  <si>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</si>
  <si>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</si>
  <si>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</si>
  <si>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</si>
  <si>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</si>
  <si>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</si>
  <si>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</si>
  <si>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</si>
  <si>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</si>
  <si>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</si>
  <si>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</si>
  <si>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</si>
  <si>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</si>
  <si>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</si>
  <si>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</si>
  <si>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</si>
  <si>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</si>
  <si>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</si>
  <si>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</si>
  <si>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</si>
  <si>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</si>
  <si>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</si>
  <si>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</si>
  <si>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</si>
  <si>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</si>
  <si>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</si>
  <si>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</si>
  <si>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</si>
  <si>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</si>
  <si>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</si>
  <si>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</si>
  <si>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</si>
  <si>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</si>
  <si>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</si>
  <si>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</si>
  <si>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</si>
  <si>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</si>
  <si>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</si>
  <si>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</si>
  <si>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</si>
  <si>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</si>
  <si>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</si>
  <si>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</si>
  <si>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</si>
  <si>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</si>
  <si>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</si>
  <si>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</si>
  <si>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</si>
  <si>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</si>
  <si>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</si>
  <si>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</si>
  <si>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</si>
  <si>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</si>
  <si>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</si>
  <si>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</si>
  <si>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</si>
  <si>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</si>
  <si>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</si>
  <si>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</si>
  <si>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</si>
  <si>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</si>
  <si>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</si>
  <si>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</si>
  <si>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</si>
  <si>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</si>
  <si>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</si>
  <si>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</si>
  <si>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</si>
  <si>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</si>
  <si>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</si>
  <si>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</si>
  <si>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</si>
  <si>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</si>
  <si>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</si>
  <si>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</si>
  <si>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</si>
  <si>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</si>
  <si>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</si>
  <si>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</si>
  <si>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</si>
  <si>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</si>
  <si>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</si>
  <si>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</si>
  <si>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</si>
  <si>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</si>
  <si>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</si>
  <si>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</si>
  <si>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</si>
  <si>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</si>
  <si>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</si>
  <si>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</si>
  <si>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</si>
  <si>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</si>
  <si>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</si>
  <si>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</si>
  <si>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</si>
  <si>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</si>
  <si>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</si>
  <si>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</si>
  <si>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</si>
  <si>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</si>
  <si>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</si>
  <si>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</si>
  <si>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</si>
  <si>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</si>
  <si>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</si>
  <si>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</si>
  <si>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</si>
  <si>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</si>
  <si>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</si>
  <si>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</si>
  <si>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</si>
  <si>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</si>
  <si>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</si>
  <si>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</si>
  <si>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</si>
  <si>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</si>
  <si>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</si>
  <si>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</si>
  <si>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</si>
  <si>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</si>
  <si>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</si>
  <si>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</si>
  <si>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</si>
  <si>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</si>
  <si>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</si>
  <si>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</si>
  <si>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</si>
  <si>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</si>
  <si>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</si>
  <si>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</si>
  <si>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</si>
  <si>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</si>
  <si>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</si>
  <si>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</si>
  <si>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</si>
  <si>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</si>
  <si>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</si>
  <si>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</si>
  <si>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</si>
  <si>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</si>
  <si>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</si>
  <si>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</si>
  <si>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</si>
  <si>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</si>
  <si>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</si>
  <si>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</si>
  <si>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</si>
  <si>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</si>
  <si>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</si>
  <si>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</si>
  <si>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</si>
  <si>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</si>
  <si>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</si>
  <si>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</si>
  <si>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</si>
  <si>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</si>
  <si>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</si>
  <si>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</si>
  <si>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</si>
  <si>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</si>
  <si>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</si>
  <si>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</si>
  <si>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</si>
  <si>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</si>
  <si>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</si>
  <si>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</si>
  <si>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</si>
  <si>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</si>
  <si>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</si>
  <si>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</si>
  <si>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</si>
  <si>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</si>
  <si>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</si>
  <si>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</si>
  <si>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</si>
  <si>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</si>
  <si>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</si>
  <si>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</si>
  <si>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</si>
  <si>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</si>
  <si>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</si>
  <si>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</si>
  <si>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</si>
  <si>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</si>
  <si>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</si>
  <si>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</si>
  <si>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</si>
  <si>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</si>
  <si>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</si>
  <si>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</si>
  <si>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</si>
  <si>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</si>
  <si>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</si>
  <si>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</si>
  <si>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</si>
  <si>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</si>
  <si>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</si>
  <si>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</si>
  <si>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</si>
  <si>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</si>
  <si>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</si>
  <si>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</si>
  <si>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</si>
  <si>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</si>
  <si>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</si>
  <si>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</si>
  <si>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</si>
  <si>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</si>
  <si>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</si>
  <si>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</si>
  <si>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</si>
  <si>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</si>
  <si>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</si>
  <si>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</si>
  <si>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</si>
  <si>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</si>
  <si>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</si>
  <si>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</si>
  <si>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</si>
  <si>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</si>
  <si>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</si>
  <si>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</si>
  <si>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</si>
  <si>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</si>
  <si>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</si>
  <si>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</si>
  <si>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</si>
  <si>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</si>
  <si>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</si>
  <si>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</si>
  <si>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</si>
  <si>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</si>
  <si>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</si>
  <si>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</si>
  <si>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</si>
  <si>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</si>
  <si>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</si>
  <si>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</si>
  <si>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</si>
  <si>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</si>
  <si>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</si>
  <si>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</si>
  <si>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</si>
  <si>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</si>
  <si>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</si>
  <si>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</si>
  <si>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</si>
  <si>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</si>
  <si>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</si>
  <si>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</si>
  <si>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</si>
  <si>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</si>
  <si>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</si>
  <si>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</si>
  <si>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</si>
  <si>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</si>
  <si>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</si>
  <si>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</si>
  <si>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</si>
  <si>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</si>
  <si>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</si>
  <si>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</si>
  <si>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</si>
  <si>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</si>
  <si>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</si>
  <si>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</si>
  <si>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</si>
  <si>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</si>
  <si>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</si>
  <si>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</si>
  <si>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</si>
  <si>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</si>
  <si>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</si>
  <si>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</si>
  <si>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</si>
  <si>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</si>
  <si>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</si>
  <si>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</si>
  <si>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</si>
  <si>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</si>
  <si>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</si>
  <si>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</si>
  <si>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</si>
  <si>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</si>
  <si>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</si>
  <si>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</si>
  <si>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</si>
  <si>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</si>
  <si>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</si>
  <si>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</si>
  <si>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</si>
  <si>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</si>
  <si>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</si>
  <si>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</si>
  <si>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</si>
  <si>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</si>
  <si>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</si>
  <si>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</si>
  <si>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</si>
  <si>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</si>
  <si>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</si>
  <si>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</si>
  <si>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</si>
  <si>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</si>
  <si>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</si>
  <si>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</si>
  <si>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</si>
  <si>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</si>
  <si>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</si>
  <si>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</si>
  <si>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</si>
  <si>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</si>
  <si>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</si>
  <si>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</si>
  <si>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</si>
  <si>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</si>
  <si>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</si>
  <si>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</si>
  <si>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</si>
  <si>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</si>
  <si>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</si>
  <si>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</si>
  <si>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</si>
  <si>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</si>
  <si>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</si>
  <si>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</si>
  <si>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</si>
  <si>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</si>
  <si>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</si>
  <si>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</si>
  <si>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</si>
  <si>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</si>
  <si>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</si>
  <si>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</si>
  <si>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</si>
  <si>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</si>
  <si>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</si>
  <si>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</si>
  <si>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</si>
  <si>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</si>
  <si>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</si>
  <si>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</si>
  <si>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</si>
  <si>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</si>
  <si>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</si>
  <si>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</si>
  <si>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</si>
  <si>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</si>
  <si>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</si>
  <si>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</si>
  <si>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</si>
  <si>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</si>
  <si>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</si>
  <si>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</si>
  <si>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</si>
  <si>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</si>
  <si>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</si>
  <si>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</si>
  <si>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</si>
  <si>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</si>
  <si>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</si>
  <si>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</si>
  <si>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</si>
  <si>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</si>
  <si>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</si>
  <si>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</si>
  <si>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</si>
  <si>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</si>
  <si>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</si>
  <si>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</si>
  <si>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</si>
  <si>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</si>
  <si>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</si>
  <si>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</si>
  <si>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</si>
  <si>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</si>
  <si>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</si>
  <si>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</si>
  <si>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</si>
  <si>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</si>
  <si>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</si>
  <si>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</si>
  <si>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</si>
  <si>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</si>
  <si>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</si>
  <si>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</si>
  <si>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</si>
  <si>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</si>
  <si>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</si>
  <si>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</si>
  <si>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</si>
  <si>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</si>
  <si>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</si>
  <si>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</si>
  <si>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</si>
  <si>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</si>
  <si>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</si>
  <si>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</si>
  <si>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</si>
  <si>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</si>
  <si>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</si>
  <si>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</si>
  <si>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</si>
  <si>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</si>
  <si>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</si>
  <si>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</si>
  <si>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</si>
  <si>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</si>
  <si>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</si>
  <si>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</si>
  <si>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</si>
  <si>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</si>
  <si>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</si>
  <si>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</si>
  <si>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</si>
  <si>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</si>
  <si>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</si>
  <si>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</si>
  <si>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</si>
  <si>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</si>
  <si>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</si>
  <si>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</si>
  <si>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</si>
  <si>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</si>
  <si>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</si>
  <si>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</si>
  <si>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</si>
  <si>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</si>
  <si>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</si>
  <si>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</si>
  <si>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</si>
  <si>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</si>
  <si>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</si>
  <si>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</si>
  <si>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</si>
  <si>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</si>
  <si>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</si>
  <si>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</si>
  <si>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</si>
  <si>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</si>
  <si>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</si>
  <si>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</si>
  <si>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</si>
  <si>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</si>
  <si>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</si>
  <si>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</si>
  <si>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</si>
  <si>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</si>
  <si>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</si>
  <si>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</si>
  <si>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</si>
  <si>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</si>
  <si>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</si>
  <si>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</si>
  <si>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</si>
  <si>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</si>
  <si>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</si>
  <si>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</si>
  <si>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</si>
  <si>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</si>
  <si>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</si>
  <si>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</si>
  <si>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</si>
  <si>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</si>
  <si>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</si>
  <si>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</si>
  <si>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</si>
  <si>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</si>
  <si>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</si>
  <si>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</si>
  <si>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</si>
  <si>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</si>
  <si>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</si>
  <si>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</si>
  <si>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</si>
  <si>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</si>
  <si>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</si>
  <si>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</si>
  <si>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</si>
  <si>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</si>
  <si>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</si>
  <si>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</si>
  <si>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</si>
  <si>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</si>
  <si>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</si>
  <si>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</si>
  <si>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</si>
  <si>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</si>
  <si>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</si>
  <si>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</si>
  <si>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</si>
  <si>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</si>
  <si>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</si>
  <si>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</si>
  <si>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</si>
  <si>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</si>
  <si>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</si>
  <si>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</si>
  <si>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</si>
  <si>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</si>
  <si>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</si>
  <si>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</si>
  <si>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</si>
  <si>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</si>
  <si>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</si>
  <si>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</si>
  <si>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</si>
  <si>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</si>
  <si>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</si>
  <si>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</si>
  <si>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</si>
  <si>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</si>
  <si>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</si>
  <si>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</si>
  <si>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</si>
  <si>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</si>
  <si>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</si>
  <si>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</si>
  <si>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</si>
  <si>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</si>
  <si>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</si>
  <si>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</si>
  <si>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</si>
  <si>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</si>
  <si>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</si>
  <si>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</si>
  <si>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</si>
  <si>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</si>
  <si>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</si>
  <si>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</si>
  <si>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</si>
  <si>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</si>
  <si>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</si>
  <si>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</si>
  <si>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</si>
  <si>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</si>
  <si>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</si>
  <si>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</si>
  <si>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</si>
  <si>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</si>
  <si>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</si>
  <si>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</si>
  <si>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</si>
  <si>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</si>
  <si>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</si>
  <si>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</si>
  <si>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</si>
  <si>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</si>
  <si>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</si>
  <si>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</si>
  <si>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</si>
  <si>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</si>
  <si>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</si>
  <si>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</si>
  <si>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</si>
  <si>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</si>
  <si>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</si>
  <si>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</si>
  <si>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</si>
  <si>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</si>
  <si>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</si>
  <si>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</si>
  <si>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</si>
  <si>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</si>
  <si>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</si>
  <si>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</si>
  <si>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</si>
  <si>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</si>
  <si>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</si>
  <si>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</si>
  <si>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</si>
  <si>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</si>
  <si>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</si>
  <si>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</si>
  <si>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</si>
  <si>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</si>
  <si>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</si>
  <si>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</si>
  <si>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</si>
  <si>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</si>
  <si>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</si>
  <si>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</si>
  <si>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</si>
  <si>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</si>
  <si>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</si>
  <si>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</si>
  <si>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</si>
  <si>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</si>
  <si>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</si>
  <si>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</si>
  <si>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</si>
  <si>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</si>
  <si>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</si>
  <si>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</si>
  <si>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</si>
  <si>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</si>
  <si>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</si>
  <si>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</si>
  <si>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</si>
  <si>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</si>
  <si>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</si>
  <si>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</si>
  <si>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</si>
  <si>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</si>
  <si>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</si>
  <si>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</si>
  <si>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</si>
  <si>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</si>
  <si>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</si>
  <si>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</si>
  <si>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</si>
  <si>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</si>
  <si>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</si>
  <si>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</si>
  <si>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</si>
  <si>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</si>
  <si>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</si>
  <si>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</si>
  <si>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</si>
  <si>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</si>
  <si>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</si>
  <si>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</si>
  <si>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</si>
  <si>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</si>
  <si>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</si>
  <si>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</si>
  <si>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</si>
  <si>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</si>
  <si>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</si>
  <si>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</si>
  <si>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</si>
  <si>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</si>
  <si>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</si>
  <si>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</si>
  <si>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</si>
  <si>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</si>
  <si>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</si>
  <si>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</si>
  <si>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</si>
  <si>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</si>
  <si>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</si>
  <si>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</si>
  <si>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</si>
  <si>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</si>
  <si>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</si>
  <si>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</si>
  <si>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</si>
  <si>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</si>
  <si>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</si>
  <si>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</si>
  <si>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</si>
  <si>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</si>
  <si>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</si>
  <si>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</si>
  <si>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</si>
  <si>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</si>
  <si>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</si>
  <si>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</si>
  <si>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</si>
  <si>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</si>
  <si>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</si>
  <si>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</si>
  <si>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</si>
  <si>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</si>
  <si>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</si>
  <si>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</si>
  <si>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</si>
  <si>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</si>
  <si>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</si>
  <si>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</si>
  <si>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</si>
  <si>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</si>
  <si>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</si>
  <si>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</si>
  <si>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</si>
  <si>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</si>
  <si>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</si>
  <si>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</si>
  <si>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</si>
  <si>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</si>
  <si>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</si>
  <si>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</si>
  <si>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</si>
  <si>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</si>
  <si>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</si>
  <si>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</si>
  <si>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</si>
  <si>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</si>
  <si>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</si>
  <si>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</si>
  <si>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</si>
  <si>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</si>
  <si>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</si>
  <si>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</si>
  <si>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</si>
  <si>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</si>
  <si>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</si>
  <si>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</si>
  <si>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</si>
  <si>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</si>
  <si>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</si>
  <si>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</si>
  <si>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</si>
  <si>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</si>
  <si>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</si>
  <si>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</si>
  <si>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</si>
  <si>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</si>
  <si>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</si>
  <si>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</si>
  <si>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</si>
  <si>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</si>
  <si>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</si>
  <si>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</si>
  <si>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</si>
  <si>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</si>
  <si>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</si>
  <si>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</si>
  <si>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</si>
  <si>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</si>
  <si>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</si>
  <si>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</si>
  <si>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</si>
  <si>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</si>
  <si>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</si>
  <si>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</si>
  <si>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</si>
  <si>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</si>
  <si>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</si>
  <si>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</si>
  <si>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</si>
  <si>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</si>
  <si>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</si>
  <si>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</si>
  <si>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</si>
  <si>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</si>
  <si>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</si>
  <si>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</si>
  <si>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</si>
  <si>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</si>
  <si>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</si>
  <si>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</si>
  <si>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</si>
  <si>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</si>
  <si>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</si>
  <si>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</si>
  <si>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</si>
  <si>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</si>
  <si>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</si>
  <si>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</si>
  <si>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</si>
  <si>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</si>
  <si>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</si>
  <si>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</si>
  <si>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</si>
  <si>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</si>
  <si>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</si>
  <si>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</si>
  <si>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</si>
  <si>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</si>
  <si>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</si>
  <si>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</si>
  <si>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</si>
  <si>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</si>
  <si>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</si>
  <si>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</si>
  <si>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</si>
  <si>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</si>
  <si>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</si>
  <si>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</si>
  <si>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</si>
  <si>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</si>
  <si>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</si>
  <si>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</si>
  <si>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</si>
  <si>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</si>
  <si>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</si>
  <si>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</si>
  <si>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</si>
  <si>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</si>
  <si>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</si>
  <si>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</si>
  <si>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</si>
  <si>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</si>
  <si>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</si>
  <si>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</si>
  <si>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</si>
  <si>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</si>
  <si>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</si>
  <si>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</si>
  <si>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</si>
  <si>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</si>
  <si>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</si>
  <si>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</si>
  <si>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</si>
  <si>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</si>
  <si>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</si>
  <si>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</si>
  <si>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</si>
  <si>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</si>
  <si>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</si>
  <si>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</si>
  <si>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</si>
  <si>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</si>
  <si>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</si>
  <si>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</si>
  <si>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</si>
  <si>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</si>
  <si>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</si>
  <si>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</si>
  <si>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</si>
  <si>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</si>
  <si>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</si>
  <si>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</si>
  <si>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</si>
  <si>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</si>
  <si>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</si>
  <si>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</si>
  <si>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</si>
  <si>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</si>
  <si>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</si>
  <si>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</si>
  <si>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</si>
  <si>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</si>
  <si>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</si>
  <si>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</si>
  <si>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</si>
  <si>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</si>
  <si>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</si>
  <si>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</si>
  <si>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</si>
  <si>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</si>
  <si>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</si>
  <si>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</si>
  <si>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</si>
  <si>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</si>
  <si>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</si>
  <si>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</si>
  <si>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</si>
  <si>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</si>
  <si>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</si>
  <si>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</si>
  <si>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</si>
  <si>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</si>
  <si>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</si>
  <si>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</si>
  <si>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</si>
  <si>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</si>
  <si>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</si>
  <si>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</si>
  <si>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</si>
  <si>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</si>
  <si>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</si>
  <si>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</si>
  <si>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</si>
  <si>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</si>
  <si>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</si>
  <si>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</si>
  <si>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</si>
  <si>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</si>
  <si>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</si>
  <si>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</si>
  <si>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</si>
  <si>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</si>
  <si>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</si>
  <si>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</si>
  <si>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</si>
  <si>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</si>
  <si>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</si>
  <si>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</si>
  <si>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</si>
  <si>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</si>
  <si>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</si>
  <si>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</si>
  <si>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</si>
  <si>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</si>
  <si>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</si>
  <si>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</si>
  <si>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</si>
  <si>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</si>
  <si>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</si>
  <si>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</si>
  <si>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</si>
  <si>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</si>
  <si>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</si>
  <si>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</si>
  <si>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</si>
  <si>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</si>
  <si>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</si>
  <si>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</si>
  <si>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</si>
  <si>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</si>
  <si>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</si>
  <si>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</si>
  <si>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</si>
  <si>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</si>
  <si>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</si>
  <si>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</si>
  <si>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</si>
  <si>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</si>
  <si>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</si>
  <si>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</si>
  <si>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</si>
  <si>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</si>
  <si>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</si>
  <si>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</si>
  <si>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</si>
  <si>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</si>
  <si>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</si>
  <si>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</si>
  <si>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</si>
  <si>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</si>
  <si>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</si>
  <si>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</si>
  <si>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</si>
  <si>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</si>
  <si>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</si>
  <si>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</si>
  <si>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</si>
  <si>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</si>
  <si>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</si>
  <si>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</si>
  <si>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</si>
  <si>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</si>
  <si>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</si>
  <si>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</si>
  <si>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</si>
  <si>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</si>
  <si>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</si>
  <si>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</si>
  <si>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</si>
  <si>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</si>
  <si>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</si>
  <si>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</si>
  <si>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</si>
  <si>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</si>
  <si>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</si>
  <si>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</si>
  <si>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</si>
  <si>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</si>
  <si>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</si>
  <si>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</si>
  <si>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</si>
  <si>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</si>
  <si>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</si>
  <si>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</si>
  <si>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</si>
  <si>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</si>
  <si>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</si>
  <si>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</si>
  <si>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</si>
  <si>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</si>
  <si>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</si>
  <si>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</si>
  <si>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</si>
  <si>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</si>
  <si>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</si>
  <si>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</si>
  <si>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</si>
  <si>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</si>
  <si>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</si>
  <si>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</si>
  <si>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</si>
  <si>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</si>
  <si>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</si>
  <si>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</si>
  <si>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</si>
  <si>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</si>
  <si>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</si>
  <si>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</si>
  <si>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</si>
  <si>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</si>
  <si>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</si>
  <si>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</si>
  <si>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</si>
  <si>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</si>
  <si>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</si>
  <si>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</si>
  <si>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</si>
  <si>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</si>
  <si>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</si>
  <si>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</si>
  <si>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</si>
  <si>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</si>
  <si>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</si>
  <si>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</si>
  <si>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</si>
  <si>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</si>
  <si>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</si>
  <si>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</si>
  <si>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</si>
  <si>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</si>
  <si>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</si>
  <si>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</si>
  <si>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</si>
  <si>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</si>
  <si>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</si>
  <si>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</si>
  <si>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</si>
  <si>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</si>
  <si>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</si>
  <si>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</si>
  <si>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</si>
  <si>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</si>
  <si>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</si>
  <si>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</si>
  <si>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</si>
  <si>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</si>
  <si>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</si>
  <si>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</si>
  <si>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</si>
  <si>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</si>
  <si>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</si>
  <si>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</si>
  <si>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</si>
  <si>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</si>
  <si>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</si>
  <si>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</si>
  <si>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</si>
  <si>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</si>
  <si>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</si>
  <si>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</si>
  <si>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</si>
  <si>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</si>
  <si>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</si>
  <si>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</si>
  <si>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</si>
  <si>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</si>
  <si>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</si>
  <si>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</si>
  <si>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</si>
  <si>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</si>
  <si>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</si>
  <si>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</si>
  <si>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</si>
  <si>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</si>
  <si>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</si>
  <si>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</si>
  <si>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</si>
  <si>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</si>
  <si>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</si>
  <si>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</si>
  <si>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</si>
  <si>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</si>
  <si>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</si>
  <si>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</si>
  <si>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</si>
  <si>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</si>
  <si>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</si>
  <si>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</si>
  <si>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</si>
  <si>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</si>
  <si>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</si>
  <si>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</si>
  <si>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</si>
  <si>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</si>
  <si>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</si>
  <si>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</si>
  <si>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</si>
  <si>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</si>
  <si>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</si>
  <si>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</si>
  <si>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</si>
  <si>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</si>
  <si>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</si>
  <si>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</si>
  <si>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</si>
  <si>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</si>
  <si>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</si>
  <si>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</si>
  <si>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</si>
  <si>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</si>
  <si>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</si>
  <si>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</si>
  <si>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</si>
  <si>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</si>
  <si>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</si>
  <si>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</si>
  <si>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</si>
  <si>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</si>
  <si>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</si>
  <si>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</si>
  <si>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</si>
  <si>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</si>
  <si>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</si>
  <si>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</si>
  <si>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</si>
  <si>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</si>
  <si>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</si>
  <si>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</si>
  <si>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</si>
  <si>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</si>
  <si>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</si>
  <si>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</si>
  <si>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</si>
  <si>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</si>
  <si>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</si>
  <si>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</si>
  <si>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</si>
  <si>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</si>
  <si>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</si>
  <si>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</si>
  <si>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</si>
  <si>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</si>
  <si>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</si>
  <si>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</si>
  <si>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</si>
  <si>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</si>
  <si>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</si>
  <si>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</si>
  <si>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</si>
  <si>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</si>
  <si>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</si>
  <si>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</si>
  <si>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</si>
  <si>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</si>
  <si>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</si>
  <si>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</si>
  <si>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</si>
  <si>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</si>
  <si>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</si>
  <si>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</si>
  <si>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</si>
  <si>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</si>
  <si>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</si>
  <si>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</si>
  <si>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</si>
  <si>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</si>
  <si>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</si>
  <si>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</si>
  <si>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</si>
  <si>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</si>
  <si>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</si>
  <si>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</si>
  <si>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</si>
  <si>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</si>
  <si>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</si>
  <si>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</si>
  <si>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</si>
  <si>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</si>
  <si>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</si>
  <si>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</si>
  <si>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</si>
  <si>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</si>
  <si>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</si>
  <si>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</si>
  <si>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</si>
  <si>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</si>
  <si>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</si>
  <si>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</si>
  <si>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</si>
  <si>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</si>
  <si>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</si>
  <si>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</si>
  <si>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</si>
  <si>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</si>
  <si>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</si>
  <si>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</si>
  <si>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</si>
  <si>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</si>
  <si>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</si>
  <si>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</si>
  <si>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</si>
  <si>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</si>
  <si>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</si>
  <si>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</si>
  <si>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</si>
  <si>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</si>
  <si>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</si>
  <si>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</si>
  <si>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</si>
  <si>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</si>
  <si>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</si>
  <si>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</si>
  <si>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</si>
  <si>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</si>
  <si>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</si>
  <si>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</si>
  <si>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</si>
  <si>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</si>
  <si>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</si>
  <si>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</si>
  <si>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</si>
  <si>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</si>
  <si>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</si>
  <si>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</si>
  <si>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</si>
  <si>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</si>
  <si>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</si>
  <si>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</si>
  <si>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</si>
  <si>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</si>
  <si>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</si>
  <si>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</si>
  <si>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</si>
  <si>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</si>
  <si>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</si>
  <si>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</si>
  <si>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</si>
  <si>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</si>
  <si>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</si>
  <si>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</si>
  <si>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</si>
  <si>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</si>
  <si>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</si>
  <si>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</si>
  <si>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</si>
  <si>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</si>
  <si>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</si>
  <si>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</si>
  <si>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</si>
  <si>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</si>
  <si>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</si>
  <si>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</si>
  <si>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</si>
  <si>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</si>
  <si>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</si>
  <si>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</si>
  <si>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</si>
  <si>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</si>
  <si>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</si>
  <si>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</si>
  <si>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</si>
  <si>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</si>
  <si>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</si>
  <si>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</si>
  <si>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</si>
  <si>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</si>
  <si>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</si>
  <si>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</si>
  <si>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</si>
  <si>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</si>
  <si>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</si>
  <si>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</si>
  <si>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</si>
  <si>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</si>
  <si>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</si>
  <si>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</si>
  <si>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</si>
  <si>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</si>
  <si>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</si>
  <si>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</si>
  <si>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</si>
  <si>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</si>
  <si>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</si>
  <si>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</si>
  <si>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</si>
  <si>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</si>
  <si>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</si>
  <si>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</si>
  <si>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</si>
  <si>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</si>
  <si>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</si>
  <si>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</si>
  <si>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</si>
  <si>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</si>
  <si>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</si>
  <si>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</si>
  <si>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</si>
  <si>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</si>
  <si>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</si>
  <si>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</si>
  <si>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</si>
  <si>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</si>
  <si>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</si>
  <si>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</si>
  <si>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</si>
  <si>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</si>
  <si>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</si>
  <si>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</si>
  <si>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</si>
  <si>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</si>
  <si>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</si>
  <si>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</si>
  <si>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</si>
  <si>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</si>
  <si>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</si>
  <si>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</si>
  <si>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</si>
  <si>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</si>
  <si>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</si>
  <si>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</si>
  <si>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</si>
  <si>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</si>
  <si>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</si>
  <si>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</si>
  <si>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</si>
  <si>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</si>
  <si>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</si>
  <si>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</si>
  <si>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</si>
  <si>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</si>
  <si>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</si>
  <si>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</si>
  <si>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</si>
  <si>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</si>
  <si>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</si>
  <si>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</si>
  <si>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</si>
  <si>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</si>
  <si>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</si>
  <si>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</si>
  <si>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</si>
  <si>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</si>
  <si>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</si>
  <si>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</si>
  <si>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</si>
  <si>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</si>
  <si>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</si>
  <si>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</si>
  <si>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</si>
  <si>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</si>
  <si>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</si>
  <si>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</si>
  <si>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</si>
  <si>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</si>
  <si>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</si>
  <si>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</si>
  <si>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</si>
  <si>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</si>
  <si>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</si>
  <si>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</si>
  <si>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</si>
  <si>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</si>
  <si>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</si>
  <si>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</si>
  <si>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</si>
  <si>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</si>
  <si>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</si>
  <si>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</si>
  <si>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</si>
  <si>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</si>
  <si>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</si>
  <si>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</si>
  <si>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</si>
  <si>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</si>
  <si>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</si>
  <si>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</si>
  <si>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</si>
  <si>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</si>
  <si>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</si>
  <si>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</si>
  <si>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</si>
  <si>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</si>
  <si>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</si>
  <si>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</si>
  <si>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</si>
  <si>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</si>
  <si>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</si>
  <si>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</si>
  <si>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</si>
  <si>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</si>
  <si>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</si>
  <si>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</si>
  <si>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</si>
  <si>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</si>
  <si>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</si>
  <si>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</si>
  <si>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</si>
  <si>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</si>
  <si>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</si>
  <si>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</si>
  <si>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</si>
  <si>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</si>
  <si>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</si>
  <si>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</si>
  <si>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</si>
  <si>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</si>
  <si>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</si>
  <si>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</si>
  <si>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</si>
  <si>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</si>
  <si>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</si>
  <si>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</si>
  <si>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</si>
  <si>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</si>
  <si>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</si>
  <si>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</si>
  <si>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</si>
  <si>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</si>
  <si>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</si>
  <si>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</si>
  <si>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</si>
  <si>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</si>
  <si>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</si>
  <si>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</si>
  <si>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</si>
  <si>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</si>
  <si>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</si>
  <si>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</si>
  <si>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</si>
  <si>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</si>
  <si>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</si>
  <si>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</si>
  <si>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</si>
  <si>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</si>
  <si>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</si>
  <si>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</si>
  <si>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</si>
  <si>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</si>
  <si>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</si>
  <si>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</si>
  <si>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</si>
  <si>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</si>
  <si>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</si>
  <si>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</si>
  <si>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</si>
  <si>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</si>
  <si>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</si>
  <si>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</si>
  <si>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</si>
  <si>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</si>
  <si>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</si>
  <si>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</si>
  <si>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</si>
  <si>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</si>
  <si>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</si>
  <si>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</si>
  <si>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</si>
  <si>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</si>
  <si>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</si>
  <si>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</si>
  <si>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</si>
  <si>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</si>
  <si>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</si>
  <si>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</si>
  <si>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</si>
  <si>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</si>
  <si>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</si>
  <si>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</si>
  <si>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</si>
  <si>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</si>
  <si>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</si>
  <si>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</si>
  <si>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</si>
  <si>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</si>
  <si>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</si>
  <si>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</si>
  <si>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</si>
  <si>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</si>
  <si>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</si>
  <si>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</si>
  <si>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</si>
  <si>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</si>
  <si>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</si>
  <si>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</si>
  <si>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</si>
  <si>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</si>
  <si>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</si>
  <si>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</si>
  <si>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</si>
  <si>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</si>
  <si>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</si>
  <si>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</si>
  <si>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</si>
  <si>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</si>
  <si>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</si>
  <si>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</si>
  <si>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</si>
  <si>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</si>
  <si>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</si>
  <si>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</si>
  <si>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</si>
  <si>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</si>
  <si>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</si>
  <si>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</si>
  <si>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</si>
  <si>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</si>
  <si>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</si>
  <si>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</si>
  <si>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</si>
  <si>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</si>
  <si>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</si>
  <si>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</si>
  <si>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</si>
  <si>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</si>
  <si>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</si>
  <si>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</si>
  <si>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</si>
  <si>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</si>
  <si>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</si>
  <si>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</si>
  <si>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</si>
  <si>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</si>
  <si>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</si>
  <si>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</si>
  <si>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</si>
  <si>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</si>
  <si>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</si>
  <si>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</si>
  <si>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</si>
  <si>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</si>
  <si>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</si>
  <si>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</si>
  <si>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</si>
  <si>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</si>
  <si>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</si>
  <si>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</si>
  <si>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</si>
  <si>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</si>
  <si>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</si>
  <si>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</si>
  <si>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</si>
  <si>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</si>
  <si>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</si>
  <si>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</si>
  <si>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</si>
  <si>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</si>
  <si>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</si>
  <si>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</si>
  <si>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</si>
  <si>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</si>
  <si>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</si>
  <si>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</si>
  <si>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</si>
  <si>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</si>
  <si>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</si>
  <si>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</si>
  <si>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</si>
  <si>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</si>
  <si>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</si>
  <si>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</si>
  <si>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</si>
  <si>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</si>
  <si>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</si>
  <si>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</si>
  <si>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</si>
  <si>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</si>
  <si>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</si>
  <si>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</si>
  <si>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</si>
  <si>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</si>
  <si>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</si>
  <si>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</si>
  <si>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</si>
  <si>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</si>
  <si>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</si>
  <si>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</si>
  <si>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</si>
  <si>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</si>
  <si>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</si>
  <si>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</si>
  <si>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</si>
  <si>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</si>
  <si>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</si>
  <si>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</si>
  <si>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</si>
  <si>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</si>
  <si>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</si>
  <si>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</si>
  <si>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</si>
  <si>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</si>
  <si>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</si>
  <si>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</si>
  <si>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</si>
  <si>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</si>
  <si>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</si>
  <si>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</si>
  <si>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</si>
  <si>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</si>
  <si>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</si>
  <si>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</si>
  <si>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</si>
  <si>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</si>
  <si>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</si>
  <si>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</si>
  <si>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</si>
  <si>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</si>
  <si>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</si>
  <si>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</si>
  <si>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</si>
  <si>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</si>
  <si>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</si>
  <si>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</si>
  <si>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</si>
  <si>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</si>
  <si>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</si>
  <si>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</si>
  <si>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</si>
  <si>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</si>
  <si>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</si>
  <si>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</si>
  <si>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</si>
  <si>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</si>
  <si>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</si>
  <si>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</si>
  <si>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</si>
  <si>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</si>
  <si>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</si>
  <si>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</si>
  <si>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</si>
  <si>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</si>
  <si>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</si>
  <si>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</si>
  <si>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</si>
  <si>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</si>
  <si>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</si>
  <si>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</si>
  <si>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</si>
  <si>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</si>
  <si>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</si>
  <si>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</si>
  <si>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</si>
  <si>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</si>
  <si>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</si>
  <si>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</si>
  <si>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</si>
  <si>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</si>
  <si>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</si>
  <si>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</si>
  <si>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</si>
  <si>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</si>
  <si>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</si>
  <si>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</si>
  <si>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</si>
  <si>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</si>
  <si>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</si>
  <si>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</si>
  <si>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</si>
  <si>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</si>
  <si>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</si>
  <si>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</si>
  <si>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</si>
  <si>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</si>
  <si>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</si>
  <si>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</si>
  <si>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</si>
  <si>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</si>
  <si>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</si>
  <si>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</si>
  <si>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</si>
  <si>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</si>
  <si>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</si>
  <si>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</si>
  <si>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</si>
  <si>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</si>
  <si>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</si>
  <si>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</si>
  <si>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</si>
  <si>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</si>
  <si>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</si>
  <si>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</si>
  <si>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</si>
  <si>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</si>
  <si>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</si>
  <si>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</si>
  <si>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</si>
  <si>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</si>
  <si>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</si>
  <si>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</si>
  <si>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</si>
  <si>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</si>
  <si>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</si>
  <si>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</si>
  <si>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</si>
  <si>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</si>
  <si>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</si>
  <si>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</si>
  <si>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</si>
  <si>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</si>
  <si>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</si>
  <si>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</si>
  <si>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</si>
  <si>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</si>
  <si>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</si>
  <si>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</si>
  <si>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</si>
  <si>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</si>
  <si>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</si>
  <si>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</si>
  <si>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</si>
  <si>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</si>
  <si>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</si>
  <si>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</si>
  <si>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</si>
  <si>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</si>
  <si>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</si>
  <si>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</si>
  <si>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</si>
  <si>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</si>
  <si>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</si>
  <si>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</si>
  <si>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</si>
  <si>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</si>
  <si>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</si>
  <si>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</si>
  <si>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</si>
  <si>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</si>
  <si>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</si>
  <si>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</si>
  <si>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</si>
  <si>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</si>
  <si>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</si>
  <si>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</si>
  <si>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</si>
  <si>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</si>
  <si>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</si>
  <si>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</si>
  <si>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</si>
  <si>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</si>
  <si>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</si>
  <si>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</si>
  <si>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</si>
  <si>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</si>
  <si>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</si>
  <si>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</si>
  <si>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</si>
  <si>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</si>
  <si>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</si>
  <si>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</si>
  <si>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</si>
  <si>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</si>
  <si>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</si>
  <si>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</si>
  <si>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</si>
  <si>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</si>
  <si>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</si>
  <si>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</si>
  <si>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</si>
  <si>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</si>
  <si>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</si>
  <si>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</si>
  <si>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</si>
  <si>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</si>
  <si>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</si>
  <si>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</si>
  <si>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</si>
  <si>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</si>
  <si>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</si>
  <si>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</si>
  <si>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</si>
  <si>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</si>
  <si>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</si>
  <si>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</si>
  <si>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</si>
  <si>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</si>
  <si>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</si>
  <si>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</si>
  <si>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</si>
  <si>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</si>
  <si>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</si>
  <si>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</si>
  <si>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</si>
  <si>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</si>
  <si>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</si>
  <si>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</si>
  <si>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</si>
  <si>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</si>
  <si>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</si>
  <si>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</si>
  <si>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</si>
  <si>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</si>
  <si>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</si>
  <si>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</si>
  <si>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</si>
  <si>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</si>
  <si>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</si>
  <si>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</si>
  <si>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</si>
  <si>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</si>
  <si>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</si>
  <si>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</si>
  <si>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</si>
  <si>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</si>
  <si>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</si>
  <si>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</si>
  <si>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</si>
  <si>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</si>
  <si>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</si>
  <si>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</si>
  <si>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</si>
  <si>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</si>
  <si>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</si>
  <si>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</si>
  <si>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</si>
  <si>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</si>
  <si>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</si>
  <si>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</si>
  <si>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</si>
  <si>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</si>
  <si>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</si>
  <si>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</si>
  <si>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</si>
  <si>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</si>
  <si>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</si>
  <si>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</si>
  <si>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</si>
  <si>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</si>
  <si>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</si>
  <si>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</si>
  <si>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</si>
  <si>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</si>
  <si>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</si>
  <si>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</si>
  <si>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</si>
  <si>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</si>
  <si>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</si>
  <si>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</si>
  <si>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</si>
  <si>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</si>
  <si>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</si>
  <si>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</si>
  <si>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</si>
  <si>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</si>
  <si>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</si>
  <si>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</si>
  <si>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</si>
  <si>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</si>
  <si>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</si>
  <si>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</si>
  <si>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</si>
  <si>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</si>
  <si>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</si>
  <si>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</si>
  <si>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</si>
  <si>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</si>
  <si>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</si>
  <si>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</si>
  <si>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</si>
  <si>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</si>
  <si>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</si>
  <si>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</si>
  <si>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</si>
  <si>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</si>
  <si>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</si>
  <si>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</si>
  <si>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</si>
  <si>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</si>
  <si>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</si>
  <si>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</si>
  <si>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</si>
  <si>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</si>
  <si>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</si>
  <si>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</si>
  <si>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</si>
  <si>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</si>
  <si>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</si>
  <si>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</si>
  <si>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</si>
  <si>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</si>
  <si>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</si>
  <si>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</si>
  <si>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</si>
  <si>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</si>
  <si>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</si>
  <si>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</si>
  <si>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</si>
  <si>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</si>
  <si>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</si>
  <si>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</si>
  <si>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</si>
  <si>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</si>
  <si>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</si>
  <si>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</si>
  <si>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</si>
  <si>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</si>
  <si>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</si>
  <si>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</si>
  <si>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</si>
  <si>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</si>
  <si>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</si>
  <si>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</si>
  <si>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</si>
  <si>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</si>
  <si>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</si>
  <si>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</si>
  <si>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</si>
  <si>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</si>
  <si>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</si>
  <si>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</si>
  <si>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</si>
  <si>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</si>
  <si>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</si>
  <si>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</si>
  <si>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</si>
  <si>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</si>
  <si>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</si>
  <si>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</si>
  <si>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</si>
  <si>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</si>
  <si>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</si>
  <si>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</si>
  <si>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</si>
  <si>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</si>
  <si>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</si>
  <si>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</si>
  <si>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</si>
  <si>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</si>
  <si>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</si>
  <si>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</si>
  <si>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</si>
  <si>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</si>
  <si>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</si>
  <si>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</si>
  <si>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</si>
  <si>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</si>
  <si>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</si>
  <si>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</si>
  <si>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</si>
  <si>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</si>
  <si>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</si>
  <si>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</si>
  <si>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</si>
  <si>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</si>
  <si>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</si>
  <si>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</si>
  <si>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</si>
  <si>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</si>
  <si>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</si>
  <si>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</si>
  <si>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</si>
  <si>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</si>
  <si>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</si>
  <si>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</si>
  <si>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</si>
  <si>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</si>
  <si>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</si>
  <si>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</si>
  <si>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</si>
  <si>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</si>
  <si>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</si>
  <si>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</si>
  <si>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</si>
  <si>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</si>
  <si>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</si>
  <si>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</si>
  <si>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</si>
  <si>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</si>
  <si>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</si>
  <si>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</si>
  <si>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</si>
  <si>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</si>
  <si>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</si>
  <si>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</si>
  <si>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</si>
  <si>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</si>
  <si>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</si>
  <si>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</si>
  <si>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</si>
  <si>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</si>
  <si>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</si>
  <si>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</si>
  <si>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</si>
  <si>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</si>
  <si>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</si>
  <si>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</si>
  <si>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</si>
  <si>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</si>
  <si>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</si>
  <si>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</si>
  <si>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</si>
  <si>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</si>
  <si>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</si>
  <si>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</si>
  <si>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</si>
  <si>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</si>
  <si>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</si>
  <si>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</si>
  <si>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</si>
  <si>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</si>
  <si>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</si>
  <si>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</si>
  <si>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</si>
  <si>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</si>
  <si>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</si>
  <si>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</si>
  <si>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</si>
  <si>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</si>
  <si>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</si>
  <si>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</si>
  <si>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</si>
  <si>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</si>
  <si>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</si>
  <si>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</si>
  <si>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</si>
  <si>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</si>
  <si>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</si>
  <si>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</si>
  <si>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</si>
  <si>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</si>
  <si>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</si>
  <si>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</si>
  <si>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</si>
  <si>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</si>
  <si>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</si>
  <si>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</si>
  <si>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</si>
  <si>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</si>
  <si>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</si>
  <si>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</si>
  <si>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</si>
  <si>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</si>
  <si>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</si>
  <si>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</si>
  <si>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</si>
  <si>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</si>
  <si>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</si>
  <si>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</si>
  <si>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</si>
  <si>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</si>
  <si>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</si>
  <si>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</si>
  <si>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</si>
  <si>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</si>
  <si>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</si>
  <si>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</si>
  <si>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</si>
  <si>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</si>
  <si>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</si>
  <si>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</si>
  <si>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</si>
  <si>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</si>
  <si>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</si>
  <si>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</si>
  <si>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</si>
  <si>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</si>
  <si>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</si>
  <si>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</si>
  <si>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</si>
  <si>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</si>
  <si>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</si>
  <si>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</si>
  <si>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</si>
  <si>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</si>
  <si>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</si>
  <si>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</si>
  <si>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</si>
  <si>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</si>
  <si>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</si>
  <si>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</si>
  <si>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</si>
  <si>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</si>
  <si>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</si>
  <si>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</si>
  <si>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</si>
  <si>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</si>
  <si>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</si>
  <si>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</si>
  <si>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</si>
  <si>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</si>
  <si>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</si>
  <si>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</si>
  <si>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</si>
  <si>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</si>
  <si>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</si>
  <si>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</si>
  <si>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</si>
  <si>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</si>
  <si>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</si>
  <si>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</si>
  <si>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</si>
  <si>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</si>
  <si>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</si>
  <si>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</si>
  <si>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</si>
  <si>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</si>
  <si>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</si>
  <si>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</si>
  <si>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</si>
  <si>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</si>
  <si>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</si>
  <si>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</si>
  <si>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</si>
  <si>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</si>
  <si>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</si>
  <si>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</si>
  <si>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</si>
  <si>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</si>
  <si>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</si>
  <si>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</si>
  <si>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</si>
  <si>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</si>
  <si>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</si>
  <si>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</si>
  <si>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</si>
  <si>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</si>
  <si>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</si>
  <si>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</si>
  <si>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</si>
  <si>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</si>
  <si>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</si>
  <si>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</si>
  <si>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</si>
  <si>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</si>
  <si>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</si>
  <si>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</si>
  <si>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</si>
  <si>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</si>
  <si>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</si>
  <si>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</si>
  <si>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</si>
  <si>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</si>
  <si>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</si>
  <si>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</si>
  <si>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</si>
  <si>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</si>
  <si>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</si>
  <si>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</si>
  <si>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</si>
  <si>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</si>
  <si>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</si>
  <si>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</si>
  <si>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</si>
  <si>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</si>
  <si>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</si>
  <si>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</si>
  <si>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</si>
  <si>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</si>
  <si>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</si>
  <si>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</si>
  <si>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</si>
  <si>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</si>
  <si>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</si>
  <si>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</si>
  <si>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</si>
  <si>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</si>
  <si>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</si>
  <si>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</si>
  <si>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</si>
  <si>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</si>
  <si>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</si>
  <si>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</si>
  <si>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</si>
  <si>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</si>
  <si>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</si>
  <si>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</si>
  <si>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</si>
  <si>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</si>
  <si>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</si>
  <si>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</si>
  <si>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</si>
  <si>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</si>
  <si>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</si>
  <si>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</si>
  <si>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</si>
  <si>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</si>
  <si>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</si>
  <si>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</si>
  <si>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</si>
  <si>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</si>
  <si>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</si>
  <si>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</si>
  <si>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</si>
  <si>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</si>
  <si>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</si>
  <si>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</si>
  <si>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</si>
  <si>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</si>
  <si>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</si>
  <si>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</si>
  <si>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</si>
  <si>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</si>
  <si>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</si>
  <si>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</si>
  <si>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</si>
  <si>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</si>
  <si>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</si>
  <si>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</si>
  <si>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</si>
  <si>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</si>
  <si>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</si>
  <si>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</si>
  <si>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</si>
  <si>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</si>
  <si>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</si>
  <si>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</si>
  <si>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</si>
  <si>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</si>
  <si>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</si>
  <si>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</si>
  <si>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</si>
  <si>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</si>
  <si>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</si>
  <si>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</si>
  <si>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</si>
  <si>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</si>
  <si>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</si>
  <si>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</si>
  <si>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</si>
  <si>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</si>
  <si>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</si>
  <si>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</si>
  <si>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</si>
  <si>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</si>
  <si>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</si>
  <si>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</si>
  <si>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</si>
  <si>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</si>
  <si>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</si>
  <si>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</si>
  <si>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</si>
  <si>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</si>
  <si>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</si>
  <si>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</si>
  <si>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</si>
  <si>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</si>
  <si>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</si>
  <si>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</si>
  <si>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</si>
  <si>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</si>
  <si>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</si>
  <si>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</si>
  <si>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</si>
  <si>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</si>
  <si>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</si>
  <si>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</si>
  <si>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</si>
  <si>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</si>
  <si>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</si>
  <si>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</si>
  <si>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</si>
  <si>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</si>
  <si>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</si>
  <si>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</si>
  <si>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</si>
  <si>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</si>
  <si>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</si>
  <si>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</si>
  <si>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</si>
  <si>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</si>
  <si>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</si>
  <si>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</si>
  <si>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</si>
  <si>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</si>
  <si>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</si>
  <si>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</si>
  <si>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</si>
  <si>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</si>
  <si>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</si>
  <si>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</si>
  <si>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</si>
  <si>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</si>
  <si>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</si>
  <si>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</si>
  <si>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</si>
  <si>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</si>
  <si>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</si>
  <si>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</si>
  <si>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</si>
  <si>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</si>
  <si>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</si>
  <si>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</si>
  <si>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</si>
  <si>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</si>
  <si>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</si>
  <si>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</si>
  <si>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</si>
  <si>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</si>
  <si>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</si>
  <si>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</si>
  <si>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</si>
  <si>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</si>
  <si>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</si>
  <si>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</si>
  <si>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</si>
  <si>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</si>
  <si>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</si>
  <si>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</si>
  <si>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</si>
  <si>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</si>
  <si>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</si>
  <si>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</si>
  <si>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</si>
  <si>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</si>
  <si>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</si>
  <si>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</si>
  <si>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</si>
  <si>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</si>
  <si>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</si>
  <si>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</si>
  <si>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</si>
  <si>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</si>
  <si>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</si>
  <si>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</si>
  <si>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</si>
  <si>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</si>
  <si>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</si>
  <si>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</si>
  <si>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</si>
  <si>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</si>
  <si>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</si>
  <si>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</si>
  <si>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</si>
  <si>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</si>
  <si>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</si>
  <si>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</si>
  <si>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</si>
  <si>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</si>
  <si>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</si>
  <si>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</si>
  <si>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</si>
  <si>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</si>
  <si>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</si>
  <si>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</si>
  <si>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</si>
  <si>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</si>
  <si>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</si>
  <si>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</si>
  <si>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</si>
  <si>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</si>
  <si>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</si>
  <si>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</si>
  <si>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</si>
  <si>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</si>
  <si>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</si>
  <si>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</si>
  <si>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</si>
  <si>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</si>
  <si>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</si>
  <si>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</si>
  <si>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</si>
  <si>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</si>
  <si>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</si>
  <si>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</si>
  <si>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</si>
  <si>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</si>
  <si>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</si>
  <si>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</si>
  <si>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</si>
  <si>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</si>
  <si>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</si>
  <si>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</si>
  <si>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</si>
  <si>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</si>
  <si>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</si>
  <si>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</si>
  <si>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</si>
  <si>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</si>
  <si>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</si>
  <si>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</si>
  <si>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</si>
  <si>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</si>
  <si>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</si>
  <si>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</si>
  <si>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</si>
  <si>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</si>
  <si>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</si>
  <si>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</si>
  <si>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</si>
  <si>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</si>
  <si>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</si>
  <si>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</si>
  <si>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</si>
  <si>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</si>
  <si>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</si>
  <si>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</si>
  <si>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</si>
  <si>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</si>
  <si>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</si>
  <si>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</si>
  <si>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</si>
  <si>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</si>
  <si>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</si>
  <si>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</si>
  <si>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</si>
  <si>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</si>
  <si>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</si>
  <si>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</si>
  <si>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</si>
  <si>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</si>
  <si>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</si>
  <si>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</si>
  <si>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</si>
  <si>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</si>
  <si>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</si>
  <si>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</si>
  <si>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</si>
  <si>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</si>
  <si>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</si>
  <si>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</si>
  <si>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</si>
  <si>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</si>
  <si>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</si>
  <si>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</si>
  <si>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</si>
  <si>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</si>
  <si>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</si>
  <si>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</si>
  <si>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</si>
  <si>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</si>
  <si>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</si>
  <si>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</si>
  <si>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</si>
  <si>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</si>
  <si>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</si>
  <si>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</si>
  <si>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</si>
  <si>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</si>
  <si>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</si>
  <si>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</si>
  <si>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</si>
  <si>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</si>
  <si>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</si>
  <si>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</si>
  <si>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</si>
  <si>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</si>
  <si>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</si>
  <si>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</si>
  <si>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</si>
  <si>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</si>
  <si>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</si>
  <si>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</si>
  <si>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</si>
  <si>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</si>
  <si>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</si>
  <si>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</si>
  <si>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</si>
  <si>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</si>
  <si>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</si>
  <si>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</si>
  <si>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</si>
  <si>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</si>
  <si>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</si>
  <si>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</si>
  <si>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</si>
  <si>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</si>
  <si>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</si>
  <si>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</si>
  <si>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</si>
  <si>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</si>
  <si>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</si>
  <si>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</si>
  <si>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</si>
  <si>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</si>
  <si>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</si>
  <si>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</si>
  <si>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</si>
  <si>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</si>
  <si>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</si>
  <si>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</si>
  <si>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</si>
  <si>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</si>
  <si>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</si>
  <si>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</si>
  <si>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</si>
  <si>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</si>
  <si>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</si>
  <si>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</si>
  <si>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</si>
  <si>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</si>
  <si>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</si>
  <si>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</si>
  <si>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</si>
  <si>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</si>
  <si>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</si>
  <si>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</si>
  <si>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</si>
  <si>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</si>
  <si>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</si>
  <si>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</si>
  <si>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</si>
  <si>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</si>
  <si>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</si>
  <si>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</si>
  <si>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</si>
  <si>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</si>
  <si>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</si>
  <si>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</si>
  <si>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</si>
  <si>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</si>
  <si>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</si>
  <si>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</si>
  <si>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</si>
  <si>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</si>
  <si>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</si>
  <si>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</si>
  <si>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</si>
  <si>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</si>
  <si>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</si>
  <si>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</si>
  <si>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</si>
  <si>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</si>
  <si>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</si>
  <si>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</si>
  <si>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</si>
  <si>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</si>
  <si>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</si>
  <si>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</si>
  <si>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</si>
  <si>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</si>
  <si>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</si>
  <si>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</si>
  <si>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</si>
  <si>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</si>
  <si>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</si>
  <si>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</si>
  <si>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</si>
  <si>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</si>
  <si>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</si>
  <si>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</si>
  <si>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</si>
  <si>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</si>
  <si>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</si>
  <si>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</si>
  <si>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</si>
  <si>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</si>
  <si>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</si>
  <si>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</si>
  <si>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</si>
  <si>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</si>
  <si>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</si>
  <si>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</si>
  <si>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</si>
  <si>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</si>
  <si>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</si>
  <si>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</si>
  <si>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</si>
  <si>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</si>
  <si>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</si>
  <si>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</si>
  <si>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</si>
  <si>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</si>
  <si>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</si>
  <si>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</si>
  <si>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</si>
  <si>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</si>
  <si>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</si>
  <si>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</si>
  <si>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</si>
  <si>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</si>
  <si>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</si>
  <si>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</si>
  <si>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</si>
  <si>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</si>
  <si>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</si>
  <si>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</si>
  <si>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</si>
  <si>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</si>
  <si>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</si>
  <si>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</si>
  <si>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</si>
  <si>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</si>
  <si>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</si>
  <si>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</si>
  <si>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</si>
  <si>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</si>
  <si>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</si>
  <si>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</si>
  <si>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</si>
  <si>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</si>
  <si>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</si>
  <si>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</si>
  <si>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</si>
  <si>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</si>
  <si>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</si>
  <si>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</si>
  <si>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</si>
  <si>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</si>
  <si>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</si>
  <si>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</si>
  <si>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</si>
  <si>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</si>
  <si>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</si>
  <si>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</si>
  <si>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</si>
  <si>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</si>
  <si>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</si>
  <si>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</si>
  <si>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</si>
  <si>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</si>
  <si>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</si>
  <si>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</si>
  <si>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</si>
  <si>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</si>
  <si>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</si>
  <si>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</si>
  <si>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</si>
  <si>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</si>
  <si>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</si>
  <si>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</si>
  <si>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</si>
  <si>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</si>
  <si>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</si>
  <si>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</si>
  <si>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</si>
  <si>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</si>
  <si>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</si>
  <si>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</si>
  <si>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</si>
  <si>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</si>
  <si>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</si>
  <si>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</si>
  <si>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</si>
  <si>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</si>
  <si>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</si>
  <si>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</si>
  <si>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</si>
  <si>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</si>
  <si>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</si>
  <si>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</si>
  <si>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</si>
  <si>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</si>
  <si>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</si>
  <si>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</si>
  <si>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</si>
  <si>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</si>
  <si>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</si>
  <si>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</si>
  <si>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</si>
  <si>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</si>
  <si>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</si>
  <si>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</si>
  <si>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</si>
  <si>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</si>
  <si>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</si>
  <si>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</si>
  <si>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</si>
  <si>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</si>
  <si>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</si>
  <si>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</si>
  <si>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</si>
  <si>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</si>
  <si>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</si>
  <si>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</si>
  <si>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</si>
  <si>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</si>
  <si>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</si>
  <si>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</si>
  <si>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</si>
  <si>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</si>
  <si>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</si>
  <si>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</si>
  <si>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</si>
  <si>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</si>
  <si>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</si>
  <si>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</si>
  <si>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</si>
  <si>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</si>
  <si>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</si>
  <si>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</si>
  <si>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</si>
  <si>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</si>
  <si>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</si>
  <si>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</si>
  <si>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</si>
  <si>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</si>
  <si>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</si>
  <si>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</si>
  <si>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</si>
  <si>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</si>
  <si>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</si>
  <si>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</si>
  <si>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</si>
  <si>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</si>
  <si>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</si>
  <si>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</si>
  <si>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</si>
  <si>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</si>
  <si>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</si>
  <si>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</si>
  <si>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</si>
  <si>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</si>
  <si>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</si>
  <si>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</si>
  <si>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</si>
  <si>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</si>
  <si>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</si>
  <si>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</si>
  <si>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</si>
  <si>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</si>
  <si>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</si>
  <si>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</si>
  <si>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</si>
  <si>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</si>
  <si>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</si>
  <si>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</si>
  <si>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</si>
  <si>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</si>
  <si>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</si>
  <si>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</si>
  <si>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</si>
  <si>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</si>
  <si>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</si>
  <si>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</si>
  <si>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</si>
  <si>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</si>
  <si>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</si>
  <si>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</si>
  <si>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</si>
  <si>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</si>
  <si>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</si>
  <si>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</si>
  <si>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</si>
  <si>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</si>
  <si>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</si>
  <si>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</si>
  <si>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</si>
  <si>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</si>
  <si>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</si>
  <si>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</si>
  <si>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</si>
  <si>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</si>
  <si>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</si>
  <si>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</si>
  <si>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</si>
  <si>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</si>
  <si>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</si>
  <si>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</si>
  <si>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</si>
  <si>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</si>
  <si>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</si>
  <si>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</si>
  <si>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</si>
  <si>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</si>
  <si>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</si>
  <si>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</si>
  <si>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</si>
  <si>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</si>
  <si>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</si>
  <si>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</si>
  <si>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</si>
  <si>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</si>
  <si>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</si>
  <si>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</si>
  <si>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</si>
  <si>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</si>
  <si>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</si>
  <si>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</si>
  <si>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</si>
  <si>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</si>
  <si>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</si>
  <si>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</si>
  <si>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</si>
  <si>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</si>
  <si>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</si>
  <si>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</si>
  <si>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</si>
  <si>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</si>
  <si>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</si>
  <si>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</si>
  <si>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</si>
  <si>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</si>
  <si>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</si>
  <si>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</si>
  <si>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</si>
  <si>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</si>
  <si>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</si>
  <si>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</si>
  <si>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</si>
  <si>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</si>
  <si>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</si>
  <si>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</si>
  <si>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</si>
  <si>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</si>
  <si>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</si>
  <si>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</si>
  <si>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</si>
  <si>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</si>
  <si>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</si>
  <si>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</si>
  <si>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</si>
  <si>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</si>
  <si>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</si>
  <si>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</si>
  <si>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</si>
  <si>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</si>
  <si>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</si>
  <si>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</si>
  <si>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</si>
  <si>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</si>
  <si>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</si>
  <si>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</si>
  <si>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</si>
  <si>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</si>
  <si>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</si>
  <si>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</si>
  <si>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</si>
  <si>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</si>
  <si>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</si>
  <si>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</si>
  <si>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</si>
  <si>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</si>
  <si>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</si>
  <si>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</si>
  <si>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</si>
  <si>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</si>
  <si>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</si>
  <si>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</si>
  <si>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</si>
  <si>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</si>
  <si>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</si>
  <si>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</si>
  <si>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</si>
  <si>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</si>
  <si>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</si>
  <si>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</si>
  <si>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</si>
  <si>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</si>
  <si>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</si>
  <si>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</si>
  <si>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</si>
  <si>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</si>
  <si>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</si>
  <si>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</si>
  <si>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</si>
  <si>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</si>
  <si>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</si>
  <si>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</si>
  <si>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</si>
  <si>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</si>
  <si>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</si>
  <si>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</si>
  <si>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</si>
  <si>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</si>
  <si>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</si>
  <si>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</si>
  <si>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</si>
  <si>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</si>
  <si>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</si>
  <si>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</si>
  <si>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</si>
  <si>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</si>
  <si>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</si>
  <si>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</si>
  <si>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</si>
  <si>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</si>
  <si>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</si>
  <si>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</si>
  <si>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</si>
  <si>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</si>
  <si>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</si>
  <si>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</si>
  <si>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</si>
  <si>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</si>
  <si>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</si>
  <si>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</si>
  <si>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</si>
  <si>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</si>
  <si>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</si>
  <si>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</si>
  <si>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</si>
  <si>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</si>
  <si>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</si>
  <si>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</si>
  <si>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</si>
  <si>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</si>
  <si>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</si>
  <si>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</si>
  <si>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</si>
  <si>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</si>
  <si>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</si>
  <si>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</si>
  <si>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</si>
  <si>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</si>
  <si>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</si>
  <si>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</si>
  <si>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</si>
  <si>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</si>
  <si>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</si>
  <si>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</si>
  <si>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</si>
  <si>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</si>
  <si>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</si>
  <si>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</si>
  <si>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</si>
  <si>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</si>
  <si>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</si>
  <si>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</si>
  <si>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</si>
  <si>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</si>
  <si>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</si>
  <si>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</si>
  <si>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</si>
  <si>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</si>
  <si>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</si>
  <si>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</si>
  <si>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</si>
  <si>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</si>
  <si>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</si>
  <si>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</si>
  <si>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</si>
  <si>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</si>
  <si>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</si>
  <si>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</si>
  <si>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</si>
  <si>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</si>
  <si>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</si>
  <si>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</si>
  <si>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</si>
  <si>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</si>
  <si>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</si>
  <si>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</si>
  <si>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</si>
  <si>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</si>
  <si>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</si>
  <si>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</si>
  <si>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</si>
  <si>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</si>
  <si>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</si>
  <si>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</si>
  <si>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</si>
  <si>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</si>
  <si>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</si>
  <si>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</si>
  <si>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</si>
  <si>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</si>
  <si>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</si>
  <si>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</si>
  <si>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</si>
  <si>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</si>
  <si>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</si>
  <si>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</si>
  <si>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</si>
  <si>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</si>
  <si>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</si>
  <si>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</si>
  <si>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</si>
  <si>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</si>
  <si>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</si>
  <si>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</si>
  <si>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</si>
  <si>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</si>
  <si>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</si>
  <si>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</si>
  <si>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</si>
  <si>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</si>
  <si>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</si>
  <si>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</si>
  <si>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</si>
  <si>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</si>
  <si>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</si>
  <si>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</si>
  <si>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</si>
  <si>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</si>
  <si>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</si>
  <si>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</si>
  <si>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</si>
  <si>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</si>
  <si>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</si>
  <si>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</si>
  <si>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</si>
  <si>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</si>
  <si>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</si>
  <si>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</si>
  <si>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</si>
  <si>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</si>
  <si>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</si>
  <si>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</si>
  <si>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</si>
  <si>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</si>
  <si>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</si>
  <si>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</si>
  <si>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</si>
  <si>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</si>
  <si>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</si>
  <si>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</si>
  <si>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</si>
  <si>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</si>
  <si>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</si>
  <si>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</si>
  <si>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</si>
  <si>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</si>
  <si>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</si>
  <si>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</si>
  <si>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</si>
  <si>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</si>
  <si>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</si>
  <si>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</si>
  <si>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</si>
  <si>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</si>
  <si>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</si>
  <si>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</si>
  <si>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</si>
  <si>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</si>
  <si>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</si>
  <si>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</si>
  <si>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</si>
  <si>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</si>
  <si>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</si>
  <si>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</si>
  <si>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</si>
  <si>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</si>
  <si>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</si>
  <si>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</si>
  <si>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</si>
  <si>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</si>
  <si>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</si>
  <si>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</si>
  <si>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</si>
  <si>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</si>
  <si>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</si>
  <si>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</si>
  <si>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</si>
  <si>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</si>
  <si>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</si>
  <si>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</si>
  <si>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</si>
  <si>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</si>
  <si>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</si>
  <si>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</si>
  <si>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</si>
  <si>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</si>
  <si>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</si>
  <si>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</si>
  <si>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</si>
  <si>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</si>
  <si>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</si>
  <si>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</si>
  <si>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</si>
  <si>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</si>
  <si>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</si>
  <si>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</si>
  <si>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</si>
  <si>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</si>
  <si>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</si>
  <si>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</si>
  <si>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</si>
  <si>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</si>
  <si>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</si>
  <si>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</si>
  <si>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</si>
  <si>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</si>
  <si>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</si>
  <si>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</si>
  <si>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</si>
  <si>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</si>
  <si>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</si>
  <si>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</si>
  <si>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</si>
  <si>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</si>
  <si>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</si>
  <si>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</si>
  <si>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</si>
  <si>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</si>
  <si>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</si>
  <si>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</si>
  <si>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</si>
  <si>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</si>
  <si>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</si>
  <si>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</si>
  <si>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</si>
  <si>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</si>
  <si>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</si>
  <si>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</si>
  <si>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</si>
  <si>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</si>
  <si>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</si>
  <si>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</si>
  <si>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</si>
  <si>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</si>
  <si>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</si>
  <si>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</si>
  <si>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</si>
  <si>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</si>
  <si>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</si>
  <si>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</si>
  <si>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</si>
  <si>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</si>
  <si>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</si>
  <si>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</si>
  <si>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</si>
  <si>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</si>
  <si>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</si>
  <si>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</si>
  <si>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</si>
  <si>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</si>
  <si>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</si>
  <si>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</si>
  <si>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</si>
  <si>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</si>
  <si>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</si>
  <si>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</si>
  <si>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</si>
  <si>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</si>
  <si>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</si>
  <si>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</si>
  <si>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</si>
  <si>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</si>
  <si>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</si>
  <si>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</si>
  <si>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</si>
  <si>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</si>
  <si>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</si>
  <si>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</si>
  <si>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</si>
  <si>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</si>
  <si>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</si>
  <si>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</si>
  <si>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</si>
  <si>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</si>
  <si>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</si>
  <si>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</si>
  <si>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</si>
  <si>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</si>
  <si>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</si>
  <si>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</si>
  <si>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</si>
  <si>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</si>
  <si>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</si>
  <si>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</si>
  <si>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</si>
  <si>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</si>
  <si>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</si>
  <si>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</si>
  <si>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</si>
  <si>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</si>
  <si>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</si>
  <si>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</si>
  <si>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</si>
  <si>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</si>
  <si>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</si>
  <si>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</si>
  <si>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</si>
  <si>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</si>
  <si>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</si>
  <si>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</si>
  <si>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</si>
  <si>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</si>
  <si>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</si>
  <si>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</si>
  <si>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</si>
  <si>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</si>
  <si>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</si>
  <si>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</si>
  <si>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</si>
  <si>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</si>
  <si>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</si>
  <si>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</si>
  <si>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</si>
  <si>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</si>
  <si>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</si>
  <si>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</si>
  <si>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</si>
  <si>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</si>
  <si>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</si>
  <si>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</si>
  <si>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</si>
  <si>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</si>
  <si>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</si>
  <si>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</si>
  <si>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</si>
  <si>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</si>
  <si>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</si>
  <si>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</si>
  <si>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</si>
  <si>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</si>
  <si>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</si>
  <si>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</si>
  <si>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</si>
  <si>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</si>
  <si>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</si>
  <si>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</si>
  <si>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</si>
  <si>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</si>
  <si>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</si>
  <si>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</si>
  <si>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</si>
  <si>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</si>
  <si>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</si>
  <si>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</si>
  <si>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</si>
  <si>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</si>
  <si>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</si>
  <si>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</si>
  <si>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</si>
  <si>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</si>
  <si>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</si>
  <si>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</si>
  <si>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</si>
  <si>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</si>
  <si>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</si>
  <si>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</si>
  <si>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</si>
  <si>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</si>
  <si>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</si>
  <si>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</si>
  <si>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</si>
  <si>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</si>
  <si>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</si>
  <si>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</si>
  <si>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</si>
  <si>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</si>
  <si>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</si>
  <si>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</si>
  <si>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</si>
  <si>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</si>
  <si>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</si>
  <si>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</si>
  <si>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</si>
  <si>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</si>
  <si>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</si>
  <si>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</si>
  <si>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</si>
  <si>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</si>
  <si>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</si>
  <si>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</si>
  <si>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</si>
  <si>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</si>
  <si>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</si>
  <si>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</si>
  <si>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</si>
  <si>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</si>
  <si>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</si>
  <si>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</si>
  <si>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</si>
  <si>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</si>
  <si>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</si>
  <si>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</si>
  <si>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</si>
  <si>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</si>
  <si>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</si>
  <si>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</si>
  <si>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</si>
  <si>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</si>
  <si>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</si>
  <si>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</si>
  <si>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</si>
  <si>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</si>
  <si>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</si>
  <si>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</si>
  <si>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</si>
  <si>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</si>
  <si>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</si>
  <si>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</si>
  <si>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</si>
  <si>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</si>
  <si>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</si>
  <si>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</si>
  <si>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</si>
  <si>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</si>
  <si>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</si>
  <si>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</si>
  <si>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</si>
  <si>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</si>
  <si>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</si>
  <si>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</si>
  <si>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</si>
  <si>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</si>
  <si>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</si>
  <si>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</si>
  <si>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</si>
  <si>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</si>
  <si>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</si>
  <si>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</si>
  <si>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</si>
  <si>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</si>
  <si>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</si>
  <si>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</si>
  <si>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</si>
  <si>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</si>
  <si>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</si>
  <si>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</si>
  <si>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</si>
  <si>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</si>
  <si>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</si>
  <si>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</si>
  <si>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</si>
  <si>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</si>
  <si>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</si>
  <si>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</si>
  <si>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</si>
  <si>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</si>
  <si>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</si>
  <si>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</si>
  <si>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</si>
  <si>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</si>
  <si>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</si>
  <si>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</si>
  <si>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</si>
  <si>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</si>
  <si>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</si>
  <si>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</si>
  <si>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</si>
  <si>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</si>
  <si>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</si>
  <si>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</si>
  <si>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</si>
  <si>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</si>
  <si>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</si>
  <si>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</si>
  <si>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</si>
  <si>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</si>
  <si>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</si>
  <si>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</si>
  <si>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</si>
  <si>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</si>
  <si>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</si>
  <si>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</si>
  <si>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</si>
  <si>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</si>
  <si>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</si>
  <si>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</si>
  <si>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</si>
  <si>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</si>
  <si>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</si>
  <si>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</si>
  <si>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</si>
  <si>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</si>
  <si>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</si>
  <si>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</si>
  <si>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</si>
  <si>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</si>
  <si>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</si>
  <si>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</si>
  <si>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</si>
  <si>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</si>
  <si>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</si>
  <si>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</si>
  <si>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</si>
  <si>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</si>
  <si>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</si>
  <si>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</si>
  <si>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</si>
  <si>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</si>
  <si>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</si>
  <si>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</si>
  <si>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</si>
  <si>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</si>
  <si>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</si>
  <si>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</si>
  <si>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</si>
  <si>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</si>
  <si>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</si>
  <si>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</si>
  <si>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</si>
  <si>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</si>
  <si>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</si>
  <si>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</si>
  <si>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</si>
  <si>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</si>
  <si>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</si>
  <si>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</si>
  <si>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</si>
  <si>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</si>
  <si>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</si>
  <si>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</si>
  <si>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</si>
  <si>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</si>
  <si>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</si>
  <si>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</si>
  <si>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</si>
  <si>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</si>
  <si>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</si>
  <si>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</si>
  <si>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</si>
  <si>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</si>
  <si>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</si>
  <si>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</si>
  <si>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</si>
  <si>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</si>
  <si>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</si>
  <si>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</si>
  <si>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</si>
  <si>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</si>
  <si>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</si>
  <si>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</si>
  <si>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</si>
  <si>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</si>
  <si>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</si>
  <si>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</si>
  <si>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</si>
  <si>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</si>
  <si>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</si>
  <si>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</si>
  <si>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</si>
  <si>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</si>
  <si>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</si>
  <si>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</si>
  <si>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</si>
  <si>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</si>
  <si>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</si>
  <si>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</si>
  <si>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</si>
  <si>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</si>
  <si>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</si>
  <si>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</si>
  <si>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</si>
  <si>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</si>
  <si>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</si>
  <si>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</si>
  <si>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</si>
  <si>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</si>
  <si>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</si>
  <si>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</si>
  <si>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</si>
  <si>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</si>
  <si>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</si>
  <si>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</si>
  <si>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</si>
  <si>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</si>
  <si>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</si>
  <si>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</si>
  <si>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</si>
  <si>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</si>
  <si>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</si>
  <si>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</si>
  <si>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</si>
  <si>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</si>
  <si>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</si>
  <si>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</si>
  <si>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</si>
  <si>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</si>
  <si>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</si>
  <si>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</si>
  <si>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</si>
  <si>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</si>
  <si>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</si>
  <si>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</si>
  <si>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</si>
  <si>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</si>
  <si>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</si>
  <si>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</si>
  <si>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</si>
  <si>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</si>
  <si>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</si>
  <si>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</si>
  <si>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</si>
  <si>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</si>
  <si>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</si>
  <si>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</si>
  <si>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</si>
  <si>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</si>
  <si>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</si>
  <si>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</si>
  <si>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</si>
  <si>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</si>
  <si>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</si>
  <si>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</si>
  <si>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</si>
  <si>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</si>
  <si>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</si>
  <si>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</si>
  <si>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</si>
  <si>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</si>
  <si>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</si>
  <si>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</si>
  <si>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</si>
  <si>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</si>
  <si>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</si>
  <si>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</si>
  <si>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</si>
  <si>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</si>
  <si>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</si>
  <si>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</si>
  <si>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</si>
  <si>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</si>
  <si>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</si>
  <si>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</si>
  <si>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</si>
  <si>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</si>
  <si>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</si>
  <si>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</si>
  <si>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</si>
  <si>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</si>
  <si>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</si>
  <si>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</si>
  <si>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</si>
  <si>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</si>
  <si>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</si>
  <si>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</si>
  <si>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</si>
  <si>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</si>
  <si>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</si>
  <si>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</si>
  <si>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</si>
  <si>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</si>
  <si>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</si>
  <si>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</si>
  <si>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</si>
  <si>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</si>
  <si>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</si>
  <si>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</si>
  <si>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</si>
  <si>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</si>
  <si>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</si>
  <si>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</si>
  <si>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</si>
  <si>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</si>
  <si>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</si>
  <si>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</si>
  <si>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</si>
  <si>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</si>
  <si>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</si>
  <si>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</si>
  <si>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</si>
  <si>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</si>
  <si>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</si>
  <si>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</si>
  <si>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</si>
  <si>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</si>
  <si>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</si>
  <si>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</si>
  <si>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</si>
  <si>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</si>
  <si>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</si>
  <si>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</si>
  <si>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</si>
  <si>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</si>
  <si>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</si>
  <si>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</si>
  <si>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</si>
  <si>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</si>
  <si>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</si>
  <si>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</si>
  <si>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</si>
  <si>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</si>
  <si>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</si>
  <si>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</si>
  <si>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</si>
  <si>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</si>
  <si>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</si>
  <si>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</si>
  <si>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</si>
  <si>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</si>
  <si>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</si>
  <si>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</si>
  <si>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</si>
  <si>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</si>
  <si>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</si>
  <si>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</si>
  <si>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</si>
  <si>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</si>
  <si>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</si>
  <si>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</si>
  <si>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</si>
  <si>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</si>
  <si>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</si>
  <si>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</si>
  <si>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</si>
  <si>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</si>
  <si>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</si>
  <si>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</si>
  <si>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</si>
  <si>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</si>
  <si>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</si>
  <si>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</si>
  <si>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</si>
  <si>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</si>
  <si>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</si>
  <si>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</si>
  <si>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</si>
  <si>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</si>
  <si>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</si>
  <si>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</si>
  <si>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</si>
  <si>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</si>
  <si>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</si>
  <si>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</si>
  <si>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</si>
  <si>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</si>
  <si>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</si>
  <si>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</si>
  <si>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</si>
  <si>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</si>
  <si>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</si>
  <si>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</si>
  <si>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</si>
  <si>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</si>
  <si>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</si>
  <si>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</si>
  <si>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</si>
  <si>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</si>
  <si>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</si>
  <si>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</si>
  <si>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</si>
  <si>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</si>
  <si>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</si>
  <si>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</si>
  <si>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</si>
  <si>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</si>
  <si>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</si>
  <si>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</si>
  <si>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</si>
  <si>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</si>
  <si>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</si>
  <si>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</si>
  <si>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</si>
  <si>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</si>
  <si>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</si>
  <si>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</si>
  <si>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</si>
  <si>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</si>
  <si>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</si>
  <si>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</si>
  <si>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</si>
  <si>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</si>
  <si>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</si>
  <si>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</si>
  <si>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</si>
  <si>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</si>
  <si>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</si>
  <si>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</si>
  <si>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</si>
  <si>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</si>
  <si>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</si>
  <si>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</si>
  <si>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</si>
  <si>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</si>
  <si>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</si>
  <si>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</si>
  <si>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</si>
  <si>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</si>
  <si>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</si>
  <si>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</si>
  <si>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</si>
  <si>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</si>
  <si>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</si>
  <si>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</si>
  <si>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</si>
  <si>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</si>
  <si>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</si>
  <si>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</si>
  <si>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</si>
  <si>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</si>
  <si>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</si>
  <si>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</si>
  <si>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</si>
  <si>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</si>
  <si>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</si>
  <si>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</si>
  <si>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</si>
  <si>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</si>
  <si>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</si>
  <si>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</si>
  <si>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</si>
  <si>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</si>
  <si>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</si>
  <si>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</si>
  <si>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</si>
  <si>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</si>
  <si>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</si>
  <si>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</si>
  <si>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</si>
  <si>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</si>
  <si>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</si>
  <si>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</si>
  <si>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</si>
  <si>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</si>
  <si>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</si>
  <si>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</si>
  <si>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</si>
  <si>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</si>
  <si>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</si>
  <si>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</si>
  <si>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</si>
  <si>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</si>
  <si>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</si>
  <si>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</si>
  <si>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</si>
  <si>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</si>
  <si>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</si>
  <si>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</si>
  <si>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</si>
  <si>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</si>
  <si>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</si>
  <si>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</si>
  <si>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</si>
  <si>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</si>
  <si>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</si>
  <si>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</si>
  <si>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</si>
  <si>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</si>
  <si>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</si>
  <si>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</si>
  <si>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</si>
  <si>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</si>
  <si>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</si>
  <si>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</si>
  <si>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</si>
  <si>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</si>
  <si>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</si>
  <si>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</si>
  <si>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</si>
  <si>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</si>
  <si>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</si>
  <si>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</si>
  <si>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</si>
  <si>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</si>
  <si>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</si>
  <si>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</si>
  <si>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</si>
  <si>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</si>
  <si>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</si>
  <si>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</si>
  <si>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</si>
  <si>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</si>
  <si>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</si>
  <si>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</si>
  <si>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</si>
  <si>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</si>
  <si>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</si>
  <si>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</si>
  <si>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</si>
  <si>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</si>
  <si>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</si>
  <si>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</si>
  <si>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</si>
  <si>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</si>
  <si>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</si>
  <si>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</si>
  <si>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</si>
  <si>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</si>
  <si>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</si>
  <si>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</si>
  <si>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</si>
  <si>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</si>
  <si>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</si>
  <si>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</si>
  <si>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</si>
  <si>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</si>
  <si>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</si>
  <si>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</si>
  <si>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</si>
  <si>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</si>
  <si>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</si>
  <si>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</si>
  <si>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</si>
  <si>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</si>
  <si>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</si>
  <si>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</si>
  <si>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</si>
  <si>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</si>
  <si>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</si>
  <si>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</si>
  <si>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</si>
  <si>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</si>
  <si>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</si>
  <si>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</si>
  <si>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</si>
  <si>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</si>
  <si>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</si>
  <si>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</si>
  <si>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</si>
  <si>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</si>
  <si>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</si>
  <si>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</si>
  <si>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</si>
  <si>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</si>
  <si>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</si>
  <si>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</si>
  <si>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</si>
  <si>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</si>
  <si>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</si>
  <si>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</si>
  <si>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</si>
  <si>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</si>
  <si>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</si>
  <si>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</si>
  <si>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</si>
  <si>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</si>
  <si>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</si>
  <si>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</si>
  <si>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</si>
  <si>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</si>
  <si>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</si>
  <si>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</si>
  <si>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</si>
  <si>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</si>
  <si>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</si>
  <si>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</si>
  <si>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</si>
  <si>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</si>
  <si>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</si>
  <si>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</si>
  <si>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</si>
  <si>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</si>
  <si>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</si>
  <si>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</si>
  <si>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</si>
  <si>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</si>
  <si>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</si>
  <si>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</si>
  <si>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</si>
  <si>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</si>
  <si>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</si>
  <si>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</si>
  <si>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</si>
  <si>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</si>
  <si>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</si>
  <si>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</si>
  <si>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</si>
  <si>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</si>
  <si>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</si>
  <si>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</si>
  <si>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</si>
  <si>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</si>
  <si>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</si>
  <si>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</si>
  <si>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</si>
  <si>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</si>
  <si>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</si>
  <si>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</si>
  <si>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</si>
  <si>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</si>
  <si>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</si>
  <si>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</si>
  <si>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</si>
  <si>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</si>
  <si>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</si>
  <si>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</si>
  <si>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</si>
  <si>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</si>
  <si>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</si>
  <si>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</si>
  <si>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</si>
  <si>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</si>
  <si>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</si>
  <si>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</si>
  <si>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</si>
  <si>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</si>
  <si>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</si>
  <si>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</si>
  <si>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</si>
  <si>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</si>
  <si>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</si>
  <si>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</si>
  <si>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</si>
  <si>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</si>
  <si>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</si>
  <si>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</si>
  <si>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</si>
  <si>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</si>
  <si>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</si>
  <si>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</si>
  <si>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</si>
  <si>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</si>
  <si>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</si>
  <si>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</si>
  <si>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</si>
  <si>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</si>
  <si>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</si>
  <si>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</si>
  <si>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</si>
  <si>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</si>
  <si>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</si>
  <si>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</si>
  <si>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</si>
  <si>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</si>
  <si>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</si>
  <si>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</si>
  <si>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</si>
  <si>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</si>
  <si>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</si>
  <si>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</si>
  <si>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</si>
  <si>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</si>
  <si>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</si>
  <si>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</si>
  <si>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</si>
  <si>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</si>
  <si>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</si>
  <si>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</si>
  <si>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</si>
  <si>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</si>
  <si>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</si>
  <si>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</si>
  <si>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</si>
  <si>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</si>
  <si>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</si>
  <si>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</si>
  <si>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</si>
  <si>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</si>
  <si>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</si>
  <si>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</si>
  <si>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</si>
  <si>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</si>
  <si>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</si>
  <si>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</si>
  <si>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</si>
  <si>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</si>
  <si>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</si>
  <si>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</si>
  <si>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</si>
  <si>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</si>
  <si>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</si>
  <si>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</si>
  <si>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</si>
  <si>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</si>
  <si>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</si>
  <si>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</si>
  <si>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</si>
  <si>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</si>
  <si>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</si>
  <si>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</si>
  <si>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</si>
  <si>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</si>
  <si>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</si>
  <si>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</si>
  <si>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</si>
  <si>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</si>
  <si>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</si>
  <si>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</si>
  <si>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</si>
  <si>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</si>
  <si>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</si>
  <si>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</si>
  <si>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</si>
  <si>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</si>
  <si>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</si>
  <si>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</si>
  <si>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</si>
  <si>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</si>
  <si>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</si>
  <si>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</si>
  <si>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</si>
  <si>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</si>
  <si>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</si>
  <si>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</si>
  <si>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</si>
  <si>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</si>
  <si>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</si>
  <si>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</si>
  <si>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</si>
  <si>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</si>
  <si>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</si>
  <si>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</si>
  <si>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</si>
  <si>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</si>
  <si>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</si>
  <si>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</si>
  <si>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</si>
  <si>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</si>
  <si>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</si>
  <si>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</si>
  <si>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</si>
  <si>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</si>
  <si>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</si>
  <si>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</si>
  <si>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</si>
  <si>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</si>
  <si>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</si>
  <si>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</si>
  <si>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</si>
  <si>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</si>
  <si>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</si>
  <si>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</si>
  <si>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</si>
  <si>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</si>
  <si>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</si>
  <si>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</si>
  <si>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</si>
  <si>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</si>
  <si>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</si>
  <si>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</si>
  <si>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</si>
  <si>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</si>
  <si>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</si>
  <si>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</si>
  <si>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</si>
  <si>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</si>
  <si>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</si>
  <si>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</si>
  <si>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</si>
  <si>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</si>
  <si>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</si>
  <si>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</si>
  <si>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</si>
  <si>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</si>
  <si>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</si>
  <si>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</si>
  <si>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</si>
  <si>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</si>
  <si>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</si>
  <si>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</si>
  <si>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</si>
  <si>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</si>
  <si>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</si>
  <si>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</si>
  <si>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</si>
  <si>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</si>
  <si>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</si>
  <si>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</si>
  <si>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</si>
  <si>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</si>
  <si>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</si>
  <si>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</si>
  <si>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</si>
  <si>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</si>
  <si>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</si>
  <si>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</si>
  <si>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</si>
  <si>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</si>
  <si>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</si>
  <si>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</si>
  <si>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</si>
  <si>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</si>
  <si>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</si>
  <si>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</si>
  <si>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</si>
  <si>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</si>
  <si>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</si>
  <si>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</si>
  <si>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</si>
  <si>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</si>
  <si>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</si>
  <si>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</si>
  <si>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</si>
  <si>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</si>
  <si>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</si>
  <si>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</si>
  <si>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</si>
  <si>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</si>
  <si>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</si>
  <si>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</si>
  <si>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</si>
  <si>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</si>
  <si>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</si>
  <si>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</si>
  <si>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</si>
  <si>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</si>
  <si>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</si>
  <si>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</si>
  <si>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</si>
  <si>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</si>
  <si>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</si>
  <si>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</si>
  <si>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</si>
  <si>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</si>
  <si>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</si>
  <si>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</si>
  <si>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</si>
  <si>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</si>
  <si>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</si>
  <si>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</si>
  <si>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</si>
  <si>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</si>
  <si>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</si>
  <si>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</si>
  <si>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</si>
  <si>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</si>
  <si>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</si>
  <si>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</si>
  <si>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</si>
  <si>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</si>
  <si>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</si>
  <si>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</si>
  <si>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</si>
  <si>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</si>
  <si>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</si>
  <si>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</si>
  <si>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</si>
  <si>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</si>
  <si>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</si>
  <si>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</si>
  <si>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</si>
  <si>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</si>
  <si>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</si>
  <si>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</si>
  <si>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</si>
  <si>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</si>
  <si>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</si>
  <si>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</si>
  <si>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</si>
  <si>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</si>
  <si>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</si>
  <si>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</si>
  <si>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</si>
  <si>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</si>
  <si>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</si>
  <si>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</si>
  <si>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</si>
  <si>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</si>
  <si>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</si>
  <si>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</si>
  <si>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</si>
  <si>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</si>
  <si>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</si>
  <si>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</si>
  <si>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</si>
  <si>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</si>
  <si>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</si>
  <si>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</si>
  <si>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</si>
  <si>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</si>
  <si>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</si>
  <si>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</si>
  <si>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</si>
  <si>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</si>
  <si>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</si>
  <si>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</si>
  <si>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</si>
  <si>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</si>
  <si>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</si>
  <si>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</si>
  <si>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</si>
  <si>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</si>
  <si>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</si>
  <si>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</si>
  <si>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</si>
  <si>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</si>
  <si>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</si>
  <si>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</si>
  <si>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</si>
  <si>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</si>
  <si>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</si>
  <si>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</si>
  <si>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</si>
  <si>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</si>
  <si>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</si>
  <si>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</si>
  <si>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</si>
  <si>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</si>
  <si>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</si>
  <si>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</si>
  <si>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</si>
  <si>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</si>
  <si>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</si>
  <si>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</si>
  <si>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</si>
  <si>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</si>
  <si>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</si>
  <si>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</si>
  <si>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</si>
  <si>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</si>
  <si>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</si>
  <si>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</si>
  <si>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</si>
  <si>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</si>
  <si>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</si>
  <si>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</si>
  <si>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</si>
  <si>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</si>
  <si>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</si>
  <si>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</si>
  <si>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</si>
  <si>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</si>
  <si>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</si>
  <si>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</si>
  <si>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</si>
  <si>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</si>
  <si>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</si>
  <si>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</si>
  <si>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</si>
  <si>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</si>
  <si>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</si>
  <si>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</si>
  <si>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</si>
  <si>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</si>
  <si>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</si>
  <si>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</si>
  <si>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</si>
  <si>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</si>
  <si>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</si>
  <si>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</si>
  <si>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</si>
  <si>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</si>
  <si>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</si>
  <si>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</si>
  <si>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</si>
  <si>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</si>
  <si>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</si>
  <si>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</si>
  <si>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</si>
  <si>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</si>
  <si>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</si>
  <si>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</si>
  <si>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</si>
  <si>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</si>
  <si>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</si>
  <si>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</si>
  <si>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</si>
  <si>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</si>
  <si>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</si>
  <si>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</si>
  <si>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</si>
  <si>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</si>
  <si>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</si>
  <si>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</si>
  <si>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</si>
  <si>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</si>
  <si>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</si>
  <si>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</si>
  <si>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</si>
  <si>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</si>
  <si>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</si>
  <si>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</si>
  <si>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</si>
  <si>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</si>
  <si>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</si>
  <si>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</si>
  <si>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</si>
  <si>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</si>
  <si>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</si>
  <si>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</si>
  <si>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</si>
  <si>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</si>
  <si>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</si>
  <si>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</si>
  <si>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</si>
  <si>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</si>
  <si>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</si>
  <si>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</si>
  <si>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</si>
  <si>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</si>
  <si>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</si>
  <si>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</si>
  <si>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</si>
  <si>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</si>
  <si>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</si>
  <si>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</si>
  <si>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</si>
  <si>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</si>
  <si>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</si>
  <si>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</si>
  <si>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</si>
  <si>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</si>
  <si>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</si>
  <si>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</si>
  <si>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</si>
  <si>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</si>
  <si>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</si>
  <si>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</si>
  <si>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</si>
  <si>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</si>
  <si>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</si>
  <si>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</si>
  <si>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</si>
  <si>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</si>
  <si>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</si>
  <si>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</si>
  <si>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</si>
  <si>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</si>
  <si>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</si>
  <si>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</si>
  <si>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</si>
  <si>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</si>
  <si>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</si>
  <si>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</si>
  <si>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</si>
  <si>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</si>
  <si>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</si>
  <si>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</si>
  <si>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</si>
  <si>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</si>
  <si>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</si>
  <si>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</si>
  <si>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</si>
  <si>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</si>
  <si>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</si>
  <si>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</si>
  <si>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</si>
  <si>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</si>
  <si>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</si>
  <si>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</si>
  <si>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</si>
  <si>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</si>
  <si>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</si>
  <si>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</si>
  <si>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</si>
  <si>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</si>
  <si>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</si>
  <si>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</si>
  <si>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</si>
  <si>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</si>
  <si>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</si>
  <si>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</si>
  <si>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</si>
  <si>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</si>
  <si>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</si>
  <si>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</si>
  <si>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</si>
  <si>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</si>
  <si>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</si>
  <si>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</si>
  <si>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</si>
  <si>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</si>
  <si>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</si>
  <si>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</si>
  <si>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</si>
  <si>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</si>
  <si>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</si>
  <si>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</si>
  <si>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</si>
  <si>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</si>
  <si>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</si>
  <si>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</si>
  <si>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</si>
  <si>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</si>
  <si>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</si>
  <si>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</si>
  <si>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</si>
  <si>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</si>
  <si>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</si>
  <si>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</si>
  <si>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</si>
  <si>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</si>
  <si>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</si>
  <si>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</si>
  <si>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</si>
  <si>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</si>
  <si>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</si>
  <si>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</si>
  <si>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</si>
  <si>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</si>
  <si>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</si>
  <si>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</si>
  <si>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</si>
  <si>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</si>
  <si>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</si>
  <si>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</si>
  <si>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</si>
  <si>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</si>
  <si>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</si>
  <si>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</si>
  <si>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</si>
  <si>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</si>
  <si>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</si>
  <si>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</si>
  <si>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</si>
  <si>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</si>
  <si>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</si>
  <si>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</si>
  <si>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</si>
  <si>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</si>
  <si>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</si>
  <si>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</si>
  <si>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</si>
  <si>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</si>
  <si>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</si>
  <si>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</si>
  <si>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</si>
  <si>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</si>
  <si>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</si>
  <si>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</si>
  <si>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</si>
  <si>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</si>
  <si>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</si>
  <si>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</si>
  <si>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</si>
  <si>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</si>
  <si>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</si>
  <si>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</si>
  <si>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</si>
  <si>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</si>
  <si>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</si>
  <si>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</si>
  <si>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</si>
  <si>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</si>
  <si>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</si>
  <si>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</si>
  <si>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</si>
  <si>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</si>
  <si>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</si>
  <si>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</si>
  <si>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</si>
  <si>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</si>
  <si>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</si>
  <si>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</si>
  <si>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</si>
  <si>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</si>
  <si>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</si>
  <si>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</si>
  <si>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</si>
  <si>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</si>
  <si>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</si>
  <si>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</si>
  <si>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</si>
  <si>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</si>
  <si>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</si>
  <si>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</si>
  <si>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</si>
  <si>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</si>
  <si>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</si>
  <si>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</si>
  <si>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</si>
  <si>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</si>
  <si>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</si>
  <si>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</si>
  <si>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</si>
  <si>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</si>
  <si>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</si>
  <si>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</si>
  <si>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</si>
  <si>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</si>
  <si>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</si>
  <si>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</si>
  <si>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</si>
  <si>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</si>
  <si>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</si>
  <si>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</si>
  <si>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</si>
  <si>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</si>
  <si>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</si>
  <si>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</si>
  <si>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</si>
  <si>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</si>
  <si>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</si>
  <si>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</si>
  <si>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</si>
  <si>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</si>
  <si>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</si>
  <si>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</si>
  <si>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</si>
  <si>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</si>
  <si>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</si>
  <si>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</si>
  <si>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</si>
  <si>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</si>
  <si>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</si>
  <si>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</si>
  <si>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</si>
  <si>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</si>
  <si>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</si>
  <si>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</si>
  <si>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</si>
  <si>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</si>
  <si>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</si>
  <si>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</si>
  <si>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</si>
  <si>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</si>
  <si>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</si>
  <si>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</si>
  <si>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</si>
  <si>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</si>
  <si>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</si>
  <si>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</si>
  <si>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</si>
  <si>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</si>
  <si>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</si>
  <si>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</si>
  <si>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</si>
  <si>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</si>
  <si>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</si>
  <si>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</si>
  <si>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</si>
  <si>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</si>
  <si>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</si>
  <si>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</si>
  <si>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</si>
  <si>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</si>
  <si>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</si>
  <si>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</si>
  <si>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</si>
  <si>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</si>
  <si>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</si>
  <si>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</si>
  <si>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</si>
  <si>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</si>
  <si>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</si>
  <si>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</si>
  <si>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</si>
  <si>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</si>
  <si>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</si>
  <si>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</si>
  <si>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</si>
  <si>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</si>
  <si>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</si>
  <si>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</si>
  <si>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</si>
  <si>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</si>
  <si>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</si>
  <si>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</si>
  <si>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</si>
  <si>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</si>
  <si>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</si>
  <si>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</si>
  <si>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</si>
  <si>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</si>
  <si>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</si>
  <si>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</si>
  <si>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</si>
  <si>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</si>
  <si>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</si>
  <si>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</si>
  <si>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</si>
  <si>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</si>
  <si>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</si>
  <si>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</si>
  <si>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</si>
  <si>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</si>
  <si>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</si>
  <si>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</si>
  <si>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</si>
  <si>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</si>
  <si>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</si>
  <si>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</si>
  <si>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</si>
  <si>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</si>
  <si>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</si>
  <si>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</si>
  <si>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</si>
  <si>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</si>
  <si>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</si>
  <si>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</si>
  <si>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</si>
  <si>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</si>
  <si>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</si>
  <si>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</si>
  <si>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</si>
  <si>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</si>
  <si>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</si>
  <si>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</si>
  <si>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</si>
  <si>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</si>
  <si>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</si>
  <si>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</si>
  <si>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</si>
  <si>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</si>
  <si>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</si>
  <si>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</si>
  <si>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</si>
  <si>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</si>
  <si>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</si>
  <si>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</si>
  <si>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</si>
  <si>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</si>
  <si>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</si>
  <si>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</si>
  <si>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</si>
  <si>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</si>
  <si>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</si>
  <si>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</si>
  <si>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</si>
  <si>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</si>
  <si>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</si>
  <si>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</si>
  <si>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</si>
  <si>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</si>
  <si>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</si>
  <si>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</si>
  <si>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</si>
  <si>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</si>
  <si>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</si>
  <si>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</si>
  <si>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</si>
  <si>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</si>
  <si>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</si>
  <si>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</si>
  <si>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</si>
  <si>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</si>
  <si>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</si>
  <si>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</si>
  <si>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</si>
  <si>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</si>
  <si>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</si>
  <si>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</si>
  <si>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</si>
  <si>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</si>
  <si>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</si>
  <si>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</si>
  <si>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</si>
  <si>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</si>
  <si>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</si>
  <si>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</si>
  <si>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</si>
  <si>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</si>
  <si>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</si>
  <si>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</si>
  <si>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</si>
  <si>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</si>
  <si>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</si>
  <si>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</si>
  <si>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</si>
  <si>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</si>
  <si>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</si>
  <si>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</si>
  <si>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</si>
  <si>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</si>
  <si>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</si>
  <si>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</si>
  <si>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</si>
  <si>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</si>
  <si>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</si>
  <si>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</si>
  <si>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</si>
  <si>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</si>
  <si>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</si>
  <si>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</si>
  <si>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</si>
  <si>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</si>
  <si>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</si>
  <si>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</si>
  <si>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</si>
  <si>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</si>
  <si>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</si>
  <si>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</si>
  <si>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</si>
  <si>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</si>
  <si>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</si>
  <si>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</si>
  <si>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</si>
  <si>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</si>
  <si>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</si>
  <si>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</si>
  <si>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</si>
  <si>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</si>
  <si>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</si>
  <si>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</si>
  <si>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</si>
  <si>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</si>
  <si>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</si>
  <si>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</si>
  <si>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</si>
  <si>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</si>
  <si>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</si>
  <si>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</si>
  <si>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</si>
  <si>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</si>
  <si>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</si>
  <si>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</si>
  <si>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</si>
  <si>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</si>
  <si>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</si>
  <si>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</si>
  <si>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</si>
  <si>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</si>
  <si>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</si>
  <si>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</si>
  <si>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</si>
  <si>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</si>
  <si>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</si>
  <si>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</si>
  <si>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</si>
  <si>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</si>
  <si>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</si>
  <si>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</si>
  <si>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</si>
  <si>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</si>
  <si>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</si>
  <si>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</si>
  <si>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</si>
  <si>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</si>
  <si>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</si>
  <si>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</si>
  <si>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</si>
  <si>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</si>
  <si>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</si>
  <si>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</si>
  <si>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</si>
  <si>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</si>
  <si>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</si>
  <si>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</si>
  <si>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</si>
  <si>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</si>
  <si>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</si>
  <si>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</si>
  <si>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</si>
  <si>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</si>
  <si>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</si>
  <si>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</si>
  <si>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</si>
  <si>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</si>
  <si>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</si>
  <si>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</si>
  <si>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</si>
  <si>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</si>
  <si>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</si>
  <si>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</si>
  <si>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</si>
  <si>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</si>
  <si>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</si>
  <si>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</si>
  <si>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</si>
  <si>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</si>
  <si>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</si>
  <si>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</si>
  <si>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</si>
  <si>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</si>
  <si>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</si>
  <si>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</si>
  <si>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</si>
  <si>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</si>
  <si>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</si>
  <si>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</si>
  <si>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</si>
  <si>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</si>
  <si>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</si>
  <si>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</si>
  <si>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</si>
  <si>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</si>
  <si>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</si>
  <si>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</si>
  <si>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</si>
  <si>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</si>
  <si>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</si>
  <si>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</si>
  <si>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</si>
  <si>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</si>
  <si>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</si>
  <si>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</si>
  <si>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</si>
  <si>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</si>
  <si>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</si>
  <si>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</si>
  <si>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</si>
  <si>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</si>
  <si>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</si>
  <si>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</si>
  <si>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</si>
  <si>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</si>
  <si>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</si>
  <si>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</si>
  <si>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</si>
  <si>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</si>
  <si>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</si>
  <si>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</si>
  <si>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</si>
  <si>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</si>
  <si>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</si>
  <si>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</si>
  <si>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</si>
  <si>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</si>
  <si>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</si>
  <si>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</si>
  <si>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</si>
  <si>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</si>
  <si>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</si>
  <si>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</si>
  <si>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</si>
  <si>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</si>
  <si>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</si>
  <si>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</si>
  <si>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</si>
  <si>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</si>
  <si>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</si>
  <si>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</si>
  <si>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</si>
  <si>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</si>
  <si>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</si>
  <si>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</si>
  <si>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</si>
  <si>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</si>
  <si>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</si>
  <si>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</si>
  <si>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</si>
  <si>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</si>
  <si>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</si>
  <si>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</si>
  <si>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</si>
  <si>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</si>
  <si>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</si>
  <si>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</si>
  <si>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</si>
  <si>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</si>
  <si>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</si>
  <si>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</si>
  <si>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</si>
  <si>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</si>
  <si>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</si>
  <si>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</si>
  <si>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</si>
  <si>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</si>
  <si>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</si>
  <si>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</si>
  <si>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</si>
  <si>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</si>
  <si>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</si>
  <si>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</si>
  <si>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</si>
  <si>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</si>
  <si>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</si>
  <si>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</si>
  <si>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</si>
  <si>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</si>
  <si>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</si>
  <si>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</si>
  <si>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</si>
  <si>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</si>
  <si>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</si>
  <si>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</si>
  <si>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</si>
  <si>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</si>
  <si>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</si>
  <si>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</si>
  <si>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</si>
  <si>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</si>
  <si>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</si>
  <si>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</si>
  <si>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</si>
  <si>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</si>
  <si>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</si>
  <si>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</si>
  <si>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</si>
  <si>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</si>
  <si>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</si>
  <si>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</si>
  <si>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</si>
  <si>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</si>
  <si>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</si>
  <si>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</si>
  <si>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</si>
  <si>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</si>
  <si>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</si>
  <si>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</si>
  <si>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</si>
  <si>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</si>
  <si>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</si>
  <si>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</si>
  <si>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</si>
  <si>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</si>
  <si>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</si>
  <si>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</si>
  <si>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</si>
  <si>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</si>
  <si>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</si>
  <si>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</si>
  <si>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</si>
  <si>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</si>
  <si>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</si>
  <si>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</si>
  <si>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</si>
  <si>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</si>
  <si>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</si>
  <si>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</si>
  <si>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</si>
  <si>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</si>
  <si>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</si>
  <si>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</si>
  <si>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</si>
  <si>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</si>
  <si>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</si>
  <si>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</si>
  <si>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</si>
  <si>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</si>
  <si>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</si>
  <si>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</si>
  <si>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</si>
  <si>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</si>
  <si>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</si>
  <si>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</si>
  <si>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</si>
  <si>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</si>
  <si>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</si>
  <si>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</si>
  <si>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</si>
  <si>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</si>
  <si>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</si>
  <si>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</si>
  <si>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</si>
  <si>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</si>
  <si>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</si>
  <si>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</si>
  <si>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</si>
  <si>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</si>
  <si>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</si>
  <si>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</si>
  <si>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</si>
  <si>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</si>
  <si>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</si>
  <si>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</si>
  <si>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</si>
  <si>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</si>
  <si>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</si>
  <si>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</si>
  <si>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</si>
  <si>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</si>
  <si>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</si>
  <si>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</si>
  <si>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</si>
  <si>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</si>
  <si>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</si>
  <si>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</si>
  <si>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</si>
  <si>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</si>
  <si>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</si>
  <si>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</si>
  <si>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</si>
  <si>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</si>
  <si>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</si>
  <si>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</si>
  <si>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</si>
  <si>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</si>
  <si>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</si>
  <si>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</si>
  <si>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</si>
  <si>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</si>
  <si>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</si>
  <si>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</si>
  <si>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</si>
  <si>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</si>
  <si>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</si>
  <si>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</si>
  <si>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</si>
  <si>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</si>
  <si>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</si>
  <si>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</si>
  <si>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</si>
  <si>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</si>
  <si>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</si>
  <si>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</si>
  <si>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</si>
  <si>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</si>
  <si>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</si>
  <si>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</si>
  <si>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</si>
  <si>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</si>
  <si>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</si>
  <si>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</si>
  <si>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</si>
  <si>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</si>
  <si>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</si>
  <si>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</si>
  <si>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</si>
  <si>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</si>
  <si>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</si>
  <si>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</si>
  <si>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</si>
  <si>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</si>
  <si>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</si>
  <si>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</si>
  <si>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</si>
  <si>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</si>
  <si>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</si>
  <si>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</si>
  <si>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</si>
  <si>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</si>
  <si>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</si>
  <si>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</si>
  <si>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</si>
  <si>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</si>
  <si>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</si>
  <si>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</si>
  <si>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</si>
  <si>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</si>
  <si>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</si>
  <si>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</si>
  <si>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</si>
  <si>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</si>
  <si>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</si>
  <si>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</si>
  <si>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</si>
  <si>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</si>
  <si>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</si>
  <si>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</si>
  <si>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</si>
  <si>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</si>
  <si>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</si>
  <si>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</si>
  <si>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</si>
  <si>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</si>
  <si>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</si>
  <si>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</si>
  <si>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</si>
  <si>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</si>
  <si>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</si>
  <si>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</si>
  <si>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</si>
  <si>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</si>
  <si>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</si>
  <si>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</si>
  <si>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</si>
  <si>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</si>
  <si>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</si>
  <si>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</si>
  <si>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</si>
  <si>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</si>
  <si>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</si>
  <si>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</si>
  <si>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</si>
  <si>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</si>
  <si>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</si>
  <si>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</si>
  <si>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</si>
  <si>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</si>
  <si>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</si>
  <si>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</si>
  <si>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</si>
  <si>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</si>
  <si>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</si>
  <si>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</si>
  <si>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</si>
  <si>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</si>
  <si>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</si>
  <si>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</si>
  <si>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</si>
  <si>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</si>
  <si>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</si>
  <si>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</si>
  <si>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</si>
  <si>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</si>
  <si>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</si>
  <si>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</si>
  <si>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</si>
  <si>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</si>
  <si>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</si>
  <si>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</si>
  <si>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</si>
  <si>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</si>
  <si>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</si>
  <si>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</si>
  <si>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</si>
  <si>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</si>
  <si>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</si>
  <si>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</si>
  <si>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</si>
  <si>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</si>
  <si>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</si>
  <si>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</si>
  <si>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</si>
  <si>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</si>
  <si>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</si>
  <si>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</si>
  <si>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</si>
  <si>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</si>
  <si>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</si>
  <si>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</si>
  <si>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</si>
  <si>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</si>
  <si>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</si>
  <si>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</si>
  <si>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</si>
  <si>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</si>
  <si>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</si>
  <si>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</si>
  <si>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</si>
  <si>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</si>
  <si>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</si>
  <si>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</si>
  <si>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</si>
  <si>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</si>
  <si>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</si>
  <si>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</si>
  <si>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</si>
  <si>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</si>
  <si>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</si>
  <si>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</si>
  <si>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</si>
  <si>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</si>
  <si>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</si>
  <si>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</si>
  <si>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</si>
  <si>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</si>
  <si>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</si>
  <si>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</si>
  <si>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</si>
  <si>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</si>
  <si>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</si>
  <si>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</si>
  <si>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</si>
  <si>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</si>
  <si>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</si>
  <si>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</si>
  <si>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</si>
  <si>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</si>
  <si>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</si>
  <si>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</si>
  <si>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</si>
  <si>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</si>
  <si>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</si>
  <si>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</si>
  <si>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</si>
  <si>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</si>
  <si>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</si>
  <si>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</si>
  <si>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</si>
  <si>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</si>
  <si>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</si>
  <si>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</si>
  <si>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</si>
  <si>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</si>
  <si>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</si>
  <si>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</si>
  <si>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</si>
  <si>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</si>
  <si>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</si>
  <si>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</si>
  <si>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</si>
  <si>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</si>
  <si>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</si>
  <si>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</si>
  <si>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</si>
  <si>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</si>
  <si>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</si>
  <si>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</si>
  <si>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</si>
  <si>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</si>
  <si>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</si>
  <si>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</si>
  <si>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</si>
  <si>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</si>
  <si>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</si>
  <si>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</si>
  <si>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</si>
  <si>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</si>
  <si>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</si>
  <si>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</si>
  <si>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</si>
  <si>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</si>
  <si>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</si>
  <si>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</si>
  <si>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</si>
  <si>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</si>
  <si>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</si>
  <si>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</si>
  <si>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</si>
  <si>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</si>
  <si>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</si>
  <si>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</si>
  <si>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</si>
  <si>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</si>
  <si>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</si>
  <si>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</si>
  <si>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</si>
  <si>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</si>
  <si>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</si>
  <si>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</si>
  <si>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</si>
  <si>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</si>
  <si>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</si>
  <si>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</si>
  <si>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</si>
  <si>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</si>
  <si>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</si>
  <si>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</si>
  <si>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</si>
  <si>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</si>
  <si>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</si>
  <si>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</si>
  <si>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</si>
  <si>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</si>
  <si>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</si>
  <si>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</si>
  <si>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</si>
  <si>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</si>
  <si>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</si>
  <si>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</si>
  <si>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</si>
  <si>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</si>
  <si>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</si>
  <si>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</si>
  <si>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</si>
  <si>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</si>
  <si>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</si>
  <si>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</si>
  <si>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</si>
  <si>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</si>
  <si>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</si>
  <si>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</si>
  <si>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</si>
  <si>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</si>
  <si>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</si>
  <si>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</si>
  <si>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</si>
  <si>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</si>
  <si>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</si>
  <si>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</si>
  <si>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</si>
  <si>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</si>
  <si>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</si>
  <si>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</si>
  <si>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</si>
  <si>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</si>
  <si>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</si>
  <si>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</si>
  <si>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</si>
  <si>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</si>
  <si>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</si>
  <si>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</si>
  <si>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</si>
  <si>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</si>
  <si>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</si>
  <si>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</si>
  <si>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</si>
  <si>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</si>
  <si>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</si>
  <si>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</si>
  <si>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</si>
  <si>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</si>
  <si>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</si>
  <si>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</si>
  <si>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</si>
  <si>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</si>
  <si>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</si>
  <si>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</si>
  <si>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</si>
  <si>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</si>
  <si>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</si>
  <si>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</si>
  <si>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</si>
  <si>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</si>
  <si>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</si>
  <si>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</si>
  <si>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</si>
  <si>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</si>
  <si>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</si>
  <si>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</si>
  <si>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</si>
  <si>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</si>
  <si>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</si>
  <si>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</si>
  <si>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</si>
  <si>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</si>
  <si>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</si>
  <si>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</si>
  <si>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</si>
  <si>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</si>
  <si>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</si>
  <si>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</si>
  <si>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</si>
  <si>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</si>
  <si>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</si>
  <si>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</si>
  <si>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</si>
  <si>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</si>
  <si>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</si>
  <si>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</si>
  <si>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</si>
  <si>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</si>
  <si>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</si>
  <si>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</si>
  <si>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</si>
  <si>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</si>
  <si>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</si>
  <si>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</si>
  <si>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</si>
  <si>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</si>
  <si>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</si>
  <si>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</si>
  <si>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</si>
  <si>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</si>
  <si>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</si>
  <si>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</si>
  <si>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</si>
  <si>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</si>
  <si>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</si>
  <si>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</si>
  <si>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</si>
  <si>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</si>
  <si>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</si>
  <si>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</si>
  <si>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</si>
  <si>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</si>
  <si>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</si>
  <si>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</si>
  <si>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</si>
  <si>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</si>
  <si>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</si>
  <si>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</si>
  <si>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</si>
  <si>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</si>
  <si>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</si>
  <si>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</si>
  <si>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</si>
  <si>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</si>
  <si>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</si>
  <si>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</si>
  <si>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</si>
  <si>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</si>
  <si>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</si>
  <si>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</si>
  <si>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</si>
  <si>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</si>
  <si>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</si>
  <si>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</si>
  <si>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</si>
  <si>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</si>
  <si>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</si>
  <si>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</si>
  <si>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</si>
  <si>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</si>
  <si>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</si>
  <si>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</si>
  <si>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</si>
  <si>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</si>
  <si>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</si>
  <si>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</si>
  <si>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</si>
  <si>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</si>
  <si>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</si>
  <si>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</si>
  <si>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</si>
  <si>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</si>
  <si>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</si>
  <si>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</si>
  <si>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</si>
  <si>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</si>
  <si>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</si>
  <si>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</si>
  <si>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</si>
  <si>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</si>
  <si>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</si>
  <si>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</si>
  <si>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</si>
  <si>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</si>
  <si>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</si>
  <si>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</si>
  <si>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</si>
  <si>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</si>
  <si>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</si>
  <si>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</si>
  <si>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</si>
  <si>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</si>
  <si>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</si>
  <si>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</si>
  <si>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</si>
  <si>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</si>
  <si>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</si>
  <si>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</si>
  <si>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</si>
  <si>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</si>
  <si>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</si>
  <si>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</si>
  <si>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</si>
  <si>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</si>
  <si>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</si>
  <si>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</si>
  <si>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</si>
  <si>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</si>
  <si>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</si>
  <si>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</si>
  <si>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</si>
  <si>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</si>
  <si>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</si>
  <si>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</si>
  <si>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</si>
  <si>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</si>
  <si>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</si>
  <si>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</si>
  <si>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</si>
  <si>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</si>
  <si>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</si>
  <si>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</si>
  <si>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</si>
  <si>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</si>
  <si>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</si>
  <si>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</si>
  <si>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</si>
  <si>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</si>
  <si>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</si>
  <si>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</si>
  <si>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</si>
  <si>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</si>
  <si>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</si>
  <si>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</si>
  <si>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</si>
  <si>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</si>
  <si>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</si>
  <si>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</si>
  <si>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</si>
  <si>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</si>
  <si>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</si>
  <si>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</si>
  <si>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</si>
  <si>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</si>
  <si>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</si>
  <si>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</si>
  <si>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</si>
  <si>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</si>
  <si>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</si>
  <si>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</si>
  <si>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</si>
  <si>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</si>
  <si>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</si>
  <si>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</si>
  <si>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</si>
  <si>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</si>
  <si>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</si>
  <si>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</si>
  <si>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</si>
  <si>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</si>
  <si>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</si>
  <si>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</si>
  <si>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</si>
  <si>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</si>
  <si>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</si>
  <si>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</si>
  <si>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</si>
  <si>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</si>
  <si>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</si>
  <si>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</si>
  <si>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</si>
  <si>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</si>
  <si>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</si>
  <si>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</si>
  <si>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</si>
  <si>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</si>
  <si>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</si>
  <si>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</si>
  <si>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</si>
  <si>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</si>
  <si>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</si>
  <si>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</si>
  <si>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</si>
  <si>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</si>
  <si>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</si>
  <si>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</si>
  <si>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</si>
  <si>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</si>
  <si>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</si>
  <si>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</si>
  <si>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</si>
  <si>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</si>
  <si>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</si>
  <si>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</si>
  <si>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</si>
  <si>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</si>
  <si>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</si>
  <si>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</si>
  <si>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</si>
  <si>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</si>
  <si>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</si>
  <si>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</si>
  <si>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</si>
  <si>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</si>
  <si>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</si>
  <si>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</si>
  <si>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</si>
  <si>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</si>
  <si>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</si>
  <si>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</si>
  <si>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</si>
  <si>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</si>
  <si>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</si>
  <si>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</si>
  <si>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</si>
  <si>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</si>
  <si>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</si>
  <si>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</si>
  <si>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</si>
  <si>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</si>
  <si>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</si>
  <si>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</si>
  <si>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</si>
  <si>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</si>
  <si>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</si>
  <si>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</si>
  <si>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</si>
  <si>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</si>
  <si>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</si>
  <si>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</si>
  <si>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</si>
  <si>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</si>
  <si>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</si>
  <si>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</si>
  <si>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</si>
  <si>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</si>
  <si>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</si>
  <si>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</si>
  <si>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</si>
  <si>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</si>
  <si>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</si>
  <si>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</si>
  <si>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</si>
  <si>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</si>
  <si>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</si>
  <si>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</si>
  <si>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</si>
  <si>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</si>
  <si>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</si>
  <si>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</si>
  <si>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</si>
  <si>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</si>
  <si>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</si>
  <si>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</si>
  <si>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</si>
  <si>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</si>
  <si>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</si>
  <si>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</si>
  <si>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</si>
  <si>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</si>
  <si>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</si>
  <si>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</si>
  <si>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</si>
  <si>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</si>
  <si>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</si>
  <si>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</si>
  <si>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</si>
  <si>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</si>
  <si>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</si>
  <si>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</si>
  <si>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</si>
  <si>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</si>
  <si>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</si>
  <si>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</si>
  <si>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</si>
  <si>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</si>
  <si>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</si>
  <si>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</si>
  <si>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</si>
  <si>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</si>
  <si>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</si>
  <si>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</si>
  <si>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</si>
  <si>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</si>
  <si>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</si>
  <si>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</si>
  <si>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</si>
  <si>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</si>
  <si>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</si>
  <si>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</si>
  <si>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</si>
  <si>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</si>
  <si>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</si>
  <si>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</si>
  <si>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</si>
  <si>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</si>
  <si>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</si>
  <si>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</si>
  <si>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</si>
  <si>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</si>
  <si>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</si>
  <si>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</si>
  <si>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</si>
  <si>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</si>
  <si>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</si>
  <si>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</si>
  <si>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</si>
  <si>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</si>
  <si>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</si>
  <si>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</si>
  <si>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</si>
  <si>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</si>
  <si>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</si>
  <si>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</si>
  <si>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</si>
  <si>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</si>
  <si>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</si>
  <si>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</si>
  <si>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</si>
  <si>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</si>
  <si>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</si>
  <si>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</si>
  <si>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</si>
  <si>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</si>
  <si>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</si>
  <si>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</si>
  <si>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</si>
  <si>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</si>
  <si>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</si>
  <si>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</si>
  <si>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</si>
  <si>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</si>
  <si>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</si>
  <si>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</si>
  <si>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</si>
  <si>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</si>
  <si>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</si>
  <si>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</si>
  <si>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</si>
  <si>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</si>
  <si>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</si>
  <si>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</si>
  <si>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</si>
  <si>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</si>
  <si>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</si>
  <si>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</si>
  <si>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</si>
  <si>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</si>
  <si>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</si>
  <si>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</si>
  <si>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</si>
  <si>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</si>
  <si>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</si>
  <si>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</si>
  <si>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</si>
  <si>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</si>
  <si>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</si>
  <si>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</si>
  <si>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</si>
  <si>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</si>
  <si>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</si>
  <si>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</si>
  <si>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</si>
  <si>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</si>
  <si>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</si>
  <si>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</si>
  <si>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</si>
  <si>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</si>
  <si>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</si>
  <si>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</si>
  <si>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</si>
  <si>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</si>
  <si>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</si>
  <si>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</si>
  <si>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</si>
  <si>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</si>
  <si>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</si>
  <si>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</si>
  <si>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</si>
  <si>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</si>
  <si>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</si>
  <si>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</si>
  <si>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</si>
  <si>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</si>
  <si>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</si>
  <si>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</si>
  <si>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</si>
  <si>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</si>
  <si>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</si>
  <si>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</si>
  <si>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</si>
  <si>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</si>
  <si>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</si>
  <si>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</si>
  <si>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</si>
  <si>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</si>
  <si>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</si>
  <si>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</si>
  <si>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</si>
  <si>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</si>
  <si>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</si>
  <si>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</si>
  <si>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</si>
  <si>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</si>
  <si>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</si>
  <si>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</si>
  <si>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</si>
  <si>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</si>
  <si>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</si>
  <si>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</si>
  <si>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</si>
  <si>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</si>
  <si>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</si>
  <si>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</si>
  <si>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</si>
  <si>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</si>
  <si>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</si>
  <si>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</si>
  <si>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</si>
  <si>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</si>
  <si>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</si>
  <si>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</si>
  <si>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</si>
  <si>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</si>
  <si>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</si>
  <si>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</si>
  <si>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</si>
  <si>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</si>
  <si>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</si>
  <si>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</si>
  <si>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</si>
  <si>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</si>
  <si>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</si>
  <si>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</si>
  <si>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</si>
  <si>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</si>
  <si>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</si>
  <si>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</si>
  <si>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</si>
  <si>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</si>
  <si>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</si>
  <si>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</si>
  <si>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</si>
  <si>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</si>
  <si>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</si>
  <si>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</si>
  <si>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</si>
  <si>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</si>
  <si>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</si>
  <si>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</si>
  <si>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</si>
  <si>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</si>
  <si>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</si>
  <si>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</si>
  <si>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</si>
  <si>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</si>
  <si>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</si>
  <si>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</si>
  <si>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</si>
  <si>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</si>
  <si>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</si>
  <si>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</si>
  <si>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</si>
  <si>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</si>
  <si>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</si>
  <si>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</si>
  <si>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</si>
  <si>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</si>
  <si>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</si>
  <si>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</si>
  <si>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</si>
  <si>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</si>
  <si>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</si>
  <si>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</si>
  <si>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</si>
  <si>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</si>
  <si>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</si>
  <si>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</si>
  <si>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</si>
  <si>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</si>
  <si>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</si>
  <si>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</si>
  <si>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</si>
  <si>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</si>
  <si>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</si>
  <si>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</si>
  <si>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</si>
  <si>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</si>
  <si>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</si>
  <si>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</si>
  <si>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</si>
  <si>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</si>
  <si>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</si>
  <si>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</si>
  <si>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</si>
  <si>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</si>
  <si>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</si>
  <si>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</si>
  <si>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</si>
  <si>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</si>
  <si>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</si>
  <si>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</si>
  <si>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</si>
  <si>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</si>
  <si>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</si>
  <si>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</si>
  <si>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</si>
  <si>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</si>
  <si>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</si>
  <si>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</si>
  <si>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</si>
  <si>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</si>
  <si>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</si>
  <si>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</si>
  <si>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</si>
  <si>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</si>
  <si>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</si>
  <si>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</si>
  <si>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</si>
  <si>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</si>
  <si>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</si>
  <si>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</si>
  <si>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</si>
  <si>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</si>
  <si>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</si>
  <si>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</si>
  <si>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</si>
  <si>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</si>
  <si>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</si>
  <si>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</si>
  <si>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</si>
  <si>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</si>
  <si>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</si>
  <si>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</si>
  <si>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</si>
  <si>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</si>
  <si>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</si>
  <si>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</si>
  <si>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</si>
  <si>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</si>
  <si>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</si>
  <si>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</si>
  <si>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</si>
  <si>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</si>
  <si>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</si>
  <si>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</si>
  <si>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</si>
  <si>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</si>
  <si>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</si>
  <si>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</si>
  <si>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</si>
  <si>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</si>
  <si>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</si>
  <si>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</si>
  <si>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</si>
  <si>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</si>
  <si>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</si>
  <si>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</si>
  <si>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</si>
  <si>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</si>
  <si>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</si>
  <si>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</si>
  <si>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</si>
  <si>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</si>
  <si>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</si>
  <si>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</si>
  <si>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</si>
  <si>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</si>
  <si>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</si>
  <si>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</si>
  <si>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</si>
  <si>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</si>
  <si>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</si>
  <si>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</si>
  <si>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</si>
  <si>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</si>
  <si>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</si>
  <si>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</si>
  <si>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</si>
  <si>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</si>
  <si>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</si>
  <si>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</si>
  <si>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</si>
  <si>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</si>
  <si>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</si>
  <si>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</si>
  <si>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</si>
  <si>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</si>
  <si>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</si>
  <si>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</si>
  <si>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</si>
  <si>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</si>
  <si>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</si>
  <si>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</si>
  <si>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</si>
  <si>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</si>
  <si>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</si>
  <si>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</si>
  <si>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</si>
  <si>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</si>
  <si>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</si>
  <si>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</si>
  <si>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</si>
  <si>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</si>
  <si>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</si>
  <si>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</si>
  <si>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</si>
  <si>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</si>
  <si>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</si>
  <si>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</si>
  <si>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</si>
  <si>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</si>
  <si>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</si>
  <si>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</si>
  <si>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</si>
  <si>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</si>
  <si>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</si>
  <si>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</si>
  <si>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</si>
  <si>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</si>
  <si>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</si>
  <si>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</si>
  <si>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</si>
  <si>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</si>
  <si>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</si>
  <si>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</si>
  <si>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</si>
  <si>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</si>
  <si>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</si>
  <si>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</si>
  <si>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</si>
  <si>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</si>
  <si>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</si>
  <si>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</si>
  <si>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</si>
  <si>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</si>
  <si>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</si>
  <si>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</si>
  <si>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</si>
  <si>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</si>
  <si>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</si>
  <si>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</si>
  <si>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</si>
  <si>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</si>
  <si>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</si>
  <si>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</si>
  <si>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</si>
  <si>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</si>
  <si>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</si>
  <si>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</si>
  <si>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</si>
  <si>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</si>
  <si>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</si>
  <si>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</si>
  <si>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</si>
  <si>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</si>
  <si>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</si>
  <si>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</si>
  <si>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</si>
  <si>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</si>
  <si>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</si>
  <si>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</si>
  <si>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</si>
  <si>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</si>
  <si>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</si>
  <si>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</si>
  <si>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</si>
  <si>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</si>
  <si>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</si>
  <si>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</si>
  <si>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</si>
  <si>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</si>
  <si>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</si>
  <si>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</si>
  <si>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</si>
  <si>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</si>
  <si>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</si>
  <si>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</si>
  <si>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</si>
  <si>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</si>
  <si>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</si>
  <si>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</si>
  <si>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</si>
  <si>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</si>
  <si>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</si>
  <si>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</si>
  <si>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</si>
  <si>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</si>
  <si>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</si>
  <si>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</si>
  <si>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</si>
  <si>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</si>
  <si>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</si>
  <si>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</si>
  <si>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</si>
  <si>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</si>
  <si>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</si>
  <si>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</si>
  <si>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</si>
  <si>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</si>
  <si>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</si>
  <si>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</si>
  <si>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</si>
  <si>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</si>
  <si>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</si>
  <si>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</si>
  <si>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</si>
  <si>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</si>
  <si>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</si>
  <si>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</si>
  <si>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</si>
  <si>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</si>
  <si>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</si>
  <si>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</si>
  <si>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</si>
  <si>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</si>
  <si>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</si>
  <si>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</si>
  <si>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</si>
  <si>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</si>
  <si>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</si>
  <si>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</si>
  <si>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</si>
  <si>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</si>
  <si>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</si>
  <si>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</si>
  <si>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</si>
  <si>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</si>
  <si>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</si>
  <si>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</si>
  <si>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</si>
  <si>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</si>
  <si>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</si>
  <si>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</si>
  <si>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</si>
  <si>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</si>
  <si>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</si>
  <si>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</si>
  <si>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</si>
  <si>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</si>
  <si>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</si>
  <si>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</si>
  <si>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</si>
  <si>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</si>
  <si>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</si>
  <si>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</si>
  <si>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</si>
  <si>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</si>
  <si>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</si>
  <si>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</si>
  <si>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</si>
  <si>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</si>
  <si>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</si>
  <si>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</si>
  <si>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</si>
  <si>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</si>
  <si>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</si>
  <si>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</si>
  <si>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</si>
  <si>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</si>
  <si>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</si>
  <si>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</si>
  <si>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</si>
  <si>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</si>
  <si>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</si>
  <si>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</si>
  <si>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</si>
  <si>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</si>
  <si>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</si>
  <si>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</si>
  <si>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</si>
  <si>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</si>
  <si>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</si>
  <si>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</si>
  <si>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</si>
  <si>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</si>
  <si>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</si>
  <si>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</si>
  <si>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</si>
  <si>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</si>
  <si>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</si>
  <si>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</si>
  <si>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</si>
  <si>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</si>
  <si>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</si>
  <si>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</si>
  <si>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</si>
  <si>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</si>
  <si>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</si>
  <si>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</si>
  <si>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</si>
  <si>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</si>
  <si>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</si>
  <si>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</si>
  <si>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</si>
  <si>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</si>
  <si>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</si>
  <si>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</si>
  <si>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</si>
  <si>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</si>
  <si>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</si>
  <si>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</si>
  <si>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</si>
  <si>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</si>
  <si>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</si>
  <si>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</si>
  <si>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</si>
  <si>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</si>
  <si>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</si>
  <si>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</si>
  <si>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</si>
  <si>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</si>
  <si>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</si>
  <si>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</si>
  <si>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</si>
  <si>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</si>
  <si>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</si>
  <si>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</si>
  <si>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</si>
  <si>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</si>
  <si>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</si>
  <si>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</si>
  <si>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</si>
  <si>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</si>
  <si>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</si>
  <si>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</si>
  <si>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</si>
  <si>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</si>
  <si>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</si>
  <si>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</si>
  <si>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</si>
  <si>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</si>
  <si>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</si>
  <si>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</si>
  <si>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</si>
  <si>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</si>
  <si>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</si>
  <si>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</si>
  <si>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</si>
  <si>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</si>
  <si>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</si>
  <si>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</si>
  <si>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</si>
  <si>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</si>
  <si>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</si>
  <si>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</si>
  <si>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</si>
  <si>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</si>
  <si>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</si>
  <si>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</si>
  <si>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</si>
  <si>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</si>
  <si>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</si>
  <si>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</si>
  <si>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</si>
  <si>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</si>
  <si>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</si>
  <si>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</si>
  <si>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</si>
  <si>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</si>
  <si>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</si>
  <si>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</si>
  <si>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</si>
  <si>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</si>
  <si>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</si>
  <si>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</si>
  <si>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</si>
  <si>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</si>
  <si>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</si>
  <si>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</si>
  <si>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</si>
  <si>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</si>
  <si>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</si>
  <si>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</si>
  <si>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</si>
  <si>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</si>
  <si>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</si>
  <si>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</si>
  <si>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</si>
  <si>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</si>
  <si>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</si>
  <si>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</si>
  <si>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</si>
  <si>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</si>
  <si>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</si>
  <si>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</si>
  <si>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</si>
  <si>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</si>
  <si>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</si>
  <si>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</si>
  <si>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</si>
  <si>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</si>
  <si>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</si>
  <si>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</si>
  <si>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</si>
  <si>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</si>
  <si>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</si>
  <si>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</si>
  <si>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</si>
  <si>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</si>
  <si>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</si>
  <si>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</si>
  <si>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</si>
  <si>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</si>
  <si>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</si>
  <si>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</si>
  <si>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</si>
  <si>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</si>
  <si>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</si>
  <si>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</si>
  <si>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</si>
  <si>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</si>
  <si>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</si>
  <si>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</si>
  <si>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</si>
  <si>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</si>
  <si>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</si>
  <si>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</si>
  <si>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</si>
  <si>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</si>
  <si>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</si>
  <si>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</si>
  <si>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</si>
  <si>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</si>
  <si>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</si>
  <si>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</si>
  <si>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</si>
  <si>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</si>
  <si>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</si>
  <si>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</si>
  <si>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</si>
  <si>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</si>
  <si>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</si>
  <si>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</si>
  <si>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</si>
  <si>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</si>
  <si>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</si>
  <si>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</si>
  <si>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</si>
  <si>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</si>
  <si>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</si>
  <si>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</si>
  <si>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</si>
  <si>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</si>
  <si>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</si>
  <si>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</si>
  <si>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</si>
  <si>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</si>
  <si>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</si>
  <si>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</si>
  <si>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</si>
  <si>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</si>
  <si>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</si>
  <si>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</si>
  <si>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</si>
  <si>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</si>
  <si>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</si>
  <si>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</si>
  <si>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</si>
  <si>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</si>
  <si>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</si>
  <si>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</si>
  <si>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</si>
  <si>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</si>
  <si>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</si>
  <si>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</si>
  <si>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</si>
  <si>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</si>
  <si>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</si>
  <si>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</si>
  <si>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</si>
  <si>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</si>
  <si>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</si>
  <si>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</si>
  <si>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</si>
  <si>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</si>
  <si>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</si>
  <si>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</si>
  <si>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</si>
  <si>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</si>
  <si>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</si>
  <si>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</si>
  <si>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</si>
  <si>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</si>
  <si>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</si>
  <si>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</si>
  <si>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</si>
  <si>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</si>
  <si>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</si>
  <si>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</si>
  <si>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</si>
  <si>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</si>
  <si>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</si>
  <si>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</si>
  <si>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</si>
  <si>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</si>
  <si>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</si>
  <si>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</si>
  <si>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</si>
  <si>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</si>
  <si>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</si>
  <si>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</si>
  <si>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</si>
  <si>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</si>
  <si>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</si>
  <si>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</si>
  <si>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</si>
  <si>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</si>
  <si>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</si>
  <si>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</si>
  <si>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</si>
  <si>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</si>
  <si>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</si>
  <si>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</si>
  <si>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</si>
  <si>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</si>
  <si>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</si>
  <si>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</si>
  <si>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</si>
  <si>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</si>
  <si>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</si>
  <si>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</si>
  <si>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</si>
  <si>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</si>
  <si>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</si>
  <si>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</si>
  <si>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</si>
  <si>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</si>
  <si>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</si>
  <si>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</si>
  <si>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</si>
  <si>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</si>
  <si>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</si>
  <si>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</si>
  <si>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</si>
  <si>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</si>
  <si>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</si>
  <si>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</si>
  <si>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</si>
  <si>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</si>
  <si>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</si>
  <si>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</si>
  <si>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</si>
  <si>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</si>
  <si>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</si>
  <si>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</si>
  <si>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</si>
  <si>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</si>
  <si>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</si>
  <si>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</si>
  <si>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</si>
  <si>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</si>
  <si>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</si>
  <si>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</si>
  <si>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</si>
  <si>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</si>
  <si>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</si>
  <si>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</si>
  <si>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</si>
  <si>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</si>
  <si>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</si>
  <si>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</si>
  <si>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</si>
  <si>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</si>
  <si>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</si>
  <si>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</si>
  <si>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</si>
  <si>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</si>
  <si>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</si>
  <si>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</si>
  <si>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</si>
  <si>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</si>
  <si>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</si>
  <si>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</si>
  <si>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</si>
  <si>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</si>
  <si>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</si>
  <si>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</si>
  <si>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</si>
  <si>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</si>
  <si>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</si>
  <si>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</si>
  <si>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</si>
  <si>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</si>
  <si>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</si>
  <si>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</si>
  <si>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</si>
  <si>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</si>
  <si>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</si>
  <si>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</si>
  <si>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</si>
  <si>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</si>
  <si>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</si>
  <si>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</si>
  <si>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</si>
  <si>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</si>
  <si>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</si>
  <si>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</si>
  <si>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</si>
  <si>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</si>
  <si>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</si>
  <si>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</si>
  <si>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</si>
  <si>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</si>
  <si>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</si>
  <si>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</si>
  <si>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</si>
  <si>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</si>
  <si>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</si>
  <si>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</si>
  <si>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</si>
  <si>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</si>
  <si>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</si>
  <si>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</si>
  <si>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</si>
  <si>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</si>
  <si>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</si>
  <si>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</si>
  <si>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</si>
  <si>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</si>
  <si>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</si>
  <si>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</si>
  <si>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</si>
  <si>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</si>
  <si>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</si>
  <si>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</si>
  <si>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</si>
  <si>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</si>
  <si>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</si>
  <si>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</si>
  <si>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</si>
  <si>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</si>
  <si>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</si>
  <si>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</si>
  <si>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</si>
  <si>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</si>
  <si>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</si>
  <si>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</si>
  <si>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</si>
  <si>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</si>
  <si>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</si>
  <si>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</si>
  <si>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</si>
  <si>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</si>
  <si>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</si>
  <si>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</si>
  <si>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</si>
  <si>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</si>
  <si>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</si>
  <si>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</si>
  <si>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</si>
  <si>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</si>
  <si>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</si>
  <si>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</si>
  <si>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</si>
  <si>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</si>
  <si>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</si>
  <si>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</si>
  <si>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</si>
  <si>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</si>
  <si>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</si>
  <si>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</si>
  <si>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</si>
  <si>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</si>
  <si>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</si>
  <si>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</si>
  <si>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</si>
  <si>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</si>
  <si>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</si>
  <si>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</si>
  <si>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</si>
  <si>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</si>
  <si>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</si>
  <si>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</si>
  <si>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</si>
  <si>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</si>
  <si>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</si>
  <si>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</si>
  <si>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</si>
  <si>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</si>
  <si>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</si>
  <si>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</si>
  <si>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</si>
  <si>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</si>
  <si>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</si>
  <si>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</si>
  <si>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</si>
  <si>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</si>
  <si>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</si>
  <si>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</si>
  <si>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</si>
  <si>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</si>
  <si>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</si>
  <si>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</si>
  <si>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</si>
  <si>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</si>
  <si>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</si>
  <si>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</si>
  <si>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</si>
  <si>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</si>
  <si>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</si>
  <si>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</si>
  <si>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</si>
  <si>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</si>
  <si>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</si>
  <si>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</si>
  <si>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</si>
  <si>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</si>
  <si>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</si>
  <si>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</si>
  <si>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</si>
  <si>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</si>
  <si>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</si>
  <si>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</si>
  <si>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</si>
  <si>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</si>
  <si>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</si>
  <si>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</si>
  <si>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</si>
  <si>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</si>
  <si>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</si>
  <si>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</si>
  <si>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</si>
  <si>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</si>
  <si>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</si>
  <si>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</si>
  <si>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</si>
  <si>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</si>
  <si>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</si>
  <si>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</si>
  <si>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</si>
  <si>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</si>
  <si>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</si>
  <si>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</si>
  <si>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Average Donations</t>
  </si>
  <si>
    <t># of Backers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</si>
  <si>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</si>
  <si>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</si>
  <si>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</si>
  <si>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</si>
  <si>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</si>
  <si>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</si>
  <si>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</si>
  <si>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</si>
  <si>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</si>
  <si>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</si>
  <si>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</si>
  <si>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</si>
  <si>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</si>
  <si>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</si>
  <si>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</si>
  <si>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</si>
  <si>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</si>
  <si>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</si>
  <si>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or More</t>
  </si>
  <si>
    <t>35000 to 39999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</si>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</sst>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10" fontId="0" fillId="0" borderId="0" xfId="0" applyNumberFormat="1" applyAlignment="1">
      <alignment horizontal="left"/>
    </xf>
  </cellXfs>
  <cellStyles count="1">
    <cellStyle name="Normal" xfId="0" builtinId="0"/>
  </cellStyles>
  <dxfs count="46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E3-4014-B35B-66DBEFABCB6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E3-4014-B35B-66DBEFABCB6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E3-4014-B35B-66DBEFABC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8640064"/>
        <c:axId val="1938637984"/>
      </c:lineChart>
      <c:catAx>
        <c:axId val="193864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637984"/>
        <c:crosses val="autoZero"/>
        <c:auto val="1"/>
        <c:lblAlgn val="ctr"/>
        <c:lblOffset val="100"/>
        <c:noMultiLvlLbl val="0"/>
      </c:catAx>
      <c:valAx>
        <c:axId val="193863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64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Goals'!$C$26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Goals'!$B$27:$B$39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Goals'!$C$27:$C$39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A6-41D0-864A-2CA0C31A136A}"/>
            </c:ext>
          </c:extLst>
        </c:ser>
        <c:ser>
          <c:idx val="1"/>
          <c:order val="1"/>
          <c:tx>
            <c:strRef>
              <c:f>'Outcomes Based on Goals'!$D$26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Goals'!$B$27:$B$39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Goals'!$D$27:$D$39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A6-41D0-864A-2CA0C31A136A}"/>
            </c:ext>
          </c:extLst>
        </c:ser>
        <c:ser>
          <c:idx val="2"/>
          <c:order val="2"/>
          <c:tx>
            <c:strRef>
              <c:f>'Outcomes Based on Goals'!$E$26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Goals'!$B$27:$B$39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Goals'!$E$27:$E$39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A6-41D0-864A-2CA0C31A1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8648015"/>
        <c:axId val="1608648847"/>
      </c:lineChart>
      <c:catAx>
        <c:axId val="1608648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648847"/>
        <c:crosses val="autoZero"/>
        <c:auto val="1"/>
        <c:lblAlgn val="ctr"/>
        <c:lblOffset val="100"/>
        <c:noMultiLvlLbl val="0"/>
      </c:catAx>
      <c:valAx>
        <c:axId val="160864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648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9975912634378008"/>
          <c:y val="3.178210838928372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56-491E-8AE8-4E2C1CF1838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56-491E-8AE8-4E2C1CF1838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56-491E-8AE8-4E2C1CF1838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56-491E-8AE8-4E2C1CF18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7060304"/>
        <c:axId val="1907060720"/>
      </c:barChart>
      <c:catAx>
        <c:axId val="190706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060720"/>
        <c:crosses val="autoZero"/>
        <c:auto val="1"/>
        <c:lblAlgn val="ctr"/>
        <c:lblOffset val="100"/>
        <c:noMultiLvlLbl val="0"/>
      </c:catAx>
      <c:valAx>
        <c:axId val="190706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06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2A-4DAB-B912-12AAC4BC82D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2A-4DAB-B912-12AAC4BC82D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2A-4DAB-B912-12AAC4BC8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4358128"/>
        <c:axId val="1894357296"/>
      </c:barChart>
      <c:catAx>
        <c:axId val="189435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357296"/>
        <c:crosses val="autoZero"/>
        <c:auto val="1"/>
        <c:lblAlgn val="ctr"/>
        <c:lblOffset val="100"/>
        <c:noMultiLvlLbl val="0"/>
      </c:catAx>
      <c:valAx>
        <c:axId val="189435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35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533399</xdr:colOff>
      <xdr:row>3</xdr:row>
      <xdr:rowOff>4762</xdr:rowOff>
    </xdr:from>
    <xdr:to>
      <xdr:col>20</xdr:col>
      <xdr:colOff>380999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6411C7-3526-4EBA-98A0-3A4794F85C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1266826</xdr:colOff>
      <xdr:row>40</xdr:row>
      <xdr:rowOff>4762</xdr:rowOff>
    </xdr:from>
    <xdr:to>
      <xdr:col>12</xdr:col>
      <xdr:colOff>171450</xdr:colOff>
      <xdr:row>61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38FD76-C209-4FA9-A379-39C9501B6A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566735</xdr:colOff>
      <xdr:row>2</xdr:row>
      <xdr:rowOff>147636</xdr:rowOff>
    </xdr:from>
    <xdr:to>
      <xdr:col>24</xdr:col>
      <xdr:colOff>352424</xdr:colOff>
      <xdr:row>45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4B1A6C-B0E0-40E5-A26F-7B756EE9AC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481011</xdr:colOff>
      <xdr:row>11</xdr:row>
      <xdr:rowOff>23811</xdr:rowOff>
    </xdr:from>
    <xdr:to>
      <xdr:col>24</xdr:col>
      <xdr:colOff>390524</xdr:colOff>
      <xdr:row>38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DB7411-10DF-467D-9CA4-98AC4A0C2E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ri" refreshedDate="44642.653336111114" createdVersion="7" refreshedVersion="7" minRefreshableVersion="3" recordCount="4114" xr:uid="{76165C30-C6E4-4444-9716-6B3FC063349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ri" refreshedDate="44642.66498321759" createdVersion="7" refreshedVersion="7" minRefreshableVersion="3" recordCount="4114" xr:uid="{A092017E-1FFC-4F36-B922-C8BE8D4626C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ri" refreshedDate="44653.18180810185" createdVersion="7" refreshedVersion="7" minRefreshableVersion="3" recordCount="12" xr:uid="{777209BB-557D-4BAD-BDC6-9B1402D3D356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10">
      <sharedItems containsSemiMixedTypes="0" containsString="0" containsNumber="1" minValue="0" maxValue="0.75806451612903225"/>
    </cacheField>
    <cacheField name="Percentage Failed" numFmtId="10">
      <sharedItems containsSemiMixedTypes="0" containsString="0" containsNumber="1" minValue="0.24193548387096775" maxValue="1"/>
    </cacheField>
    <cacheField name="Percentage Canceled" numFmtId="1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CB87AA-DFC4-484E-84E3-7896EDEE6BF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12F2C3-F3BA-456B-B46B-A08AD99DCCAE}" name="PivotTable3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B26:E39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10" showAll="0"/>
    <pivotField dataField="1" numFmtId="10" showAll="0"/>
    <pivotField dataField="1" numFmtId="1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3">
    <format dxfId="45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  <format dxfId="44">
      <pivotArea collapsedLevelsAreSubtotals="1" fieldPosition="0">
        <references count="2">
          <reference field="4294967294" count="1" selected="0">
            <x v="1"/>
          </reference>
          <reference field="0" count="0"/>
        </references>
      </pivotArea>
    </format>
    <format dxfId="43">
      <pivotArea collapsedLevelsAreSubtotals="1" fieldPosition="0">
        <references count="2">
          <reference field="4294967294" count="1" selected="0">
            <x v="2"/>
          </reference>
          <reference field="0" count="0"/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516466-5395-4D07-97AF-BA34E75F99E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71FDCF-9A0B-46CD-B2D7-C6FAC085CA8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ySplit="1" topLeftCell="A2" activePane="bottomLeft" state="frozen"/>
      <selection pane="bottomLeft" activeCell="J4" sqref="J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8385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1" xr:uid="{00000000-0001-0000-0000-000000000000}"/>
  <conditionalFormatting sqref="F1:F1048576">
    <cfRule type="cellIs" dxfId="39" priority="2" operator="equal">
      <formula>"canceled"</formula>
    </cfRule>
    <cfRule type="cellIs" dxfId="38" priority="3" operator="equal">
      <formula>"failed"</formula>
    </cfRule>
    <cfRule type="cellIs" dxfId="37" priority="4" operator="equal">
      <formula>"successful"</formula>
    </cfRule>
    <cfRule type="cellIs" dxfId="36" priority="5" operator="equal">
      <formula>"live"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E7FFD-85EE-4D7C-843C-4D40006E54A4}">
  <dimension ref="A1:E18"/>
  <sheetViews>
    <sheetView workbookViewId="0">
      <selection activeCell="K36" sqref="K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8385</v>
      </c>
      <c r="B2" t="s">
        <v>8364</v>
      </c>
    </row>
    <row r="4" spans="1:5" x14ac:dyDescent="0.25">
      <c r="A4" s="11" t="s">
        <v>8362</v>
      </c>
      <c r="B4" s="11" t="s">
        <v>8360</v>
      </c>
    </row>
    <row r="5" spans="1:5" x14ac:dyDescent="0.25">
      <c r="A5" s="11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6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6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6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6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6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6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6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6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6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6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6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6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45A7B-424F-4605-BC04-6916065195F7}">
  <dimension ref="A1:H39"/>
  <sheetViews>
    <sheetView tabSelected="1" workbookViewId="0">
      <selection activeCell="E18" sqref="E18"/>
    </sheetView>
  </sheetViews>
  <sheetFormatPr defaultRowHeight="15" x14ac:dyDescent="0.25"/>
  <cols>
    <col min="1" max="1" width="19.140625" customWidth="1"/>
    <col min="2" max="2" width="18.140625" bestFit="1" customWidth="1"/>
    <col min="3" max="3" width="27.7109375" bestFit="1" customWidth="1"/>
    <col min="4" max="4" width="23.85546875" bestFit="1" customWidth="1"/>
    <col min="5" max="5" width="26.710937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" t="s">
        <v>8381</v>
      </c>
      <c r="B1" s="1" t="s">
        <v>8386</v>
      </c>
      <c r="C1" s="1" t="s">
        <v>8387</v>
      </c>
      <c r="D1" s="1" t="s">
        <v>8388</v>
      </c>
      <c r="E1" s="1" t="s">
        <v>8389</v>
      </c>
      <c r="F1" s="1" t="s">
        <v>8390</v>
      </c>
      <c r="G1" s="1" t="s">
        <v>8391</v>
      </c>
      <c r="H1" s="1" t="s">
        <v>8392</v>
      </c>
    </row>
    <row r="2" spans="1:8" x14ac:dyDescent="0.25">
      <c r="A2" t="s">
        <v>8393</v>
      </c>
      <c r="B2" s="13">
        <f>COUNTIFS(Kickstarter!$F:$F,"successful",Kickstarter!$D:$D,"&lt;1000",Kickstarter!$R:$R,"plays")</f>
        <v>141</v>
      </c>
      <c r="C2" s="13">
        <f>COUNTIFS(Kickstarter!$F:$F,"failed",Kickstarter!$D:$D,"&lt;1000",Kickstarter!$R:$R,"plays")</f>
        <v>45</v>
      </c>
      <c r="D2" s="13">
        <f>COUNTIFS(Kickstarter!$F:$F,"canceled",Kickstarter!$D:$D,"&lt;1000",Kickstarter!$R:$R,"plays")</f>
        <v>0</v>
      </c>
      <c r="E2" s="13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5">
      <c r="A3" t="s">
        <v>8394</v>
      </c>
      <c r="B3" s="13">
        <f>COUNTIFS(Kickstarter!$F:$F,"successful",Kickstarter!$D:$D,"&gt;=1000",Kickstarter!$D:$D,"&lt;=4999",Kickstarter!$R:$R,"plays")</f>
        <v>388</v>
      </c>
      <c r="C3" s="13">
        <f>COUNTIFS(Kickstarter!$F:$F,"failed",Kickstarter!$D:$D,"&gt;=1000",Kickstarter!$D:$D,"&lt;=4999",Kickstarter!$R:$R,"plays")</f>
        <v>146</v>
      </c>
      <c r="D3" s="13">
        <f>COUNTIFS(Kickstarter!$F:$F,"canceled",Kickstarter!$D:$D,"&gt;=1000",Kickstarter!$D:$D,"&lt;=4999",Kickstarter!$R:$R,"plays")</f>
        <v>0</v>
      </c>
      <c r="E3" s="1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5">
      <c r="A4" t="s">
        <v>8395</v>
      </c>
      <c r="B4" s="13">
        <f>COUNTIFS(Kickstarter!$F:$F,"successful",Kickstarter!$D:$D,"&gt;=5000",Kickstarter!$D:$D,"&lt;=9999",Kickstarter!$R:$R,"plays")</f>
        <v>93</v>
      </c>
      <c r="C4" s="13">
        <f>COUNTIFS(Kickstarter!$F:$F,"failed",Kickstarter!$D:$D,"&gt;=5000",Kickstarter!$D:$D,"&lt;=9999",Kickstarter!$R:$R,"plays")</f>
        <v>76</v>
      </c>
      <c r="D4" s="13">
        <f>COUNTIFS(Kickstarter!$F:$F,"canceled",Kickstarter!$D:$D,"&gt;=5000",Kickstarter!$D:$D,"&lt;=9999",Kickstarter!$R:$R,"plays")</f>
        <v>0</v>
      </c>
      <c r="E4" s="13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8396</v>
      </c>
      <c r="B5" s="13">
        <f>COUNTIFS(Kickstarter!$F:$F,"successful",Kickstarter!$D:$D,"&gt;=10000",Kickstarter!$D:$D,"&lt;=14999",Kickstarter!$R:$R,"plays")</f>
        <v>39</v>
      </c>
      <c r="C5" s="13">
        <f>COUNTIFS(Kickstarter!$F:$F,"failed",Kickstarter!$D:$D,"&gt;=10000",Kickstarter!$D:$D,"&lt;=14999",Kickstarter!$R:$R,"plays")</f>
        <v>33</v>
      </c>
      <c r="D5" s="13">
        <f>COUNTIFS(Kickstarter!$F:$F,"canceled",Kickstarter!$D:$D,"&gt;=10000",Kickstarter!$D:$D,"&lt;=14999",Kickstarter!$R:$R,"plays")</f>
        <v>0</v>
      </c>
      <c r="E5" s="13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8397</v>
      </c>
      <c r="B6" s="13">
        <f>COUNTIFS(Kickstarter!$F:$F,"successful",Kickstarter!$D:$D,"&gt;=15000",Kickstarter!$D:$D,"&lt;=19999",Kickstarter!$R:$R,"plays")</f>
        <v>12</v>
      </c>
      <c r="C6" s="13">
        <f>COUNTIFS(Kickstarter!$F:$F,"failed",Kickstarter!$D:$D,"&gt;=15000",Kickstarter!$D:$D,"&lt;=19999",Kickstarter!$R:$R,"plays")</f>
        <v>12</v>
      </c>
      <c r="D6" s="13">
        <f>COUNTIFS(Kickstarter!$F:$F,"canceled",Kickstarter!$D:$D,"&gt;=15000",Kickstarter!$D:$D,"&lt;=19999",Kickstarter!$R:$R,"plays")</f>
        <v>0</v>
      </c>
      <c r="E6" s="13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8398</v>
      </c>
      <c r="B7" s="13">
        <f>COUNTIFS(Kickstarter!$F:$F,"successful",Kickstarter!$D:$D,"&gt;=20000",Kickstarter!$D:$D,"&lt;=24999",Kickstarter!$R:$R,"plays")</f>
        <v>9</v>
      </c>
      <c r="C7" s="13">
        <f>COUNTIFS(Kickstarter!$F:$F,"failed",Kickstarter!$D:$D,"&gt;=20000",Kickstarter!$D:$D,"&lt;=24999",Kickstarter!$R:$R,"plays")</f>
        <v>11</v>
      </c>
      <c r="D7" s="13">
        <f>COUNTIFS(Kickstarter!$F:$F,"canceled",Kickstarter!$D:$D,"&gt;=20000",Kickstarter!$D:$D,"&lt;=24999",Kickstarter!$R:$R,"plays")</f>
        <v>0</v>
      </c>
      <c r="E7" s="13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8399</v>
      </c>
      <c r="B8" s="13">
        <f>COUNTIFS(Kickstarter!$F:$F,"successful",Kickstarter!$D:$D,"&gt;=25000",Kickstarter!$D:$D,"&lt;=29999",Kickstarter!$R:$R,"plays")</f>
        <v>1</v>
      </c>
      <c r="C8" s="13">
        <f>COUNTIFS(Kickstarter!$F:$F,"failed",Kickstarter!$D:$D,"&gt;=25000",Kickstarter!$D:$D,"&lt;=29999",Kickstarter!$R:$R,"plays")</f>
        <v>4</v>
      </c>
      <c r="D8" s="13">
        <f>COUNTIFS(Kickstarter!$F:$F,"canceled",Kickstarter!$D:$D,"&gt;=25000",Kickstarter!$D:$D,"&lt;=29999",Kickstarter!$R:$R,"plays")</f>
        <v>0</v>
      </c>
      <c r="E8" s="13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8400</v>
      </c>
      <c r="B9" s="13">
        <f>COUNTIFS(Kickstarter!$F:$F,"successful",Kickstarter!$D:$D,"&gt;=30000",Kickstarter!$D:$D,"&lt;=34999",Kickstarter!$R:$R,"plays")</f>
        <v>3</v>
      </c>
      <c r="C9" s="13">
        <f>COUNTIFS(Kickstarter!$F:$F,"failed",Kickstarter!$D:$D,"&gt;=30000",Kickstarter!$D:$D,"&lt;=34999",Kickstarter!$R:$R,"plays")</f>
        <v>8</v>
      </c>
      <c r="D9" s="13">
        <f>COUNTIFS(Kickstarter!$F:$F,"canceled",Kickstarter!$D:$D,"&gt;=30000",Kickstarter!$D:$D,"&lt;=34999",Kickstarter!$R:$R,"plays")</f>
        <v>0</v>
      </c>
      <c r="E9" s="13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8404</v>
      </c>
      <c r="B10" s="13">
        <f>COUNTIFS(Kickstarter!$F:$F,"successful",Kickstarter!$D:$D,"&gt;=35000",Kickstarter!$D:$D,"&lt;=39999",Kickstarter!$R:$R,"plays")</f>
        <v>4</v>
      </c>
      <c r="C10" s="13">
        <f>COUNTIFS(Kickstarter!$F:$F,"failed",Kickstarter!$D:$D,"&gt;=35000",Kickstarter!$D:$D,"&lt;=39999",Kickstarter!$R:$R,"plays")</f>
        <v>2</v>
      </c>
      <c r="D10" s="13">
        <f>COUNTIFS(Kickstarter!$F:$F,"canceled",Kickstarter!$D:$D,"&gt;=35000",Kickstarter!$D:$D,"&lt;=39999",Kickstarter!$R:$R,"plays")</f>
        <v>0</v>
      </c>
      <c r="E10" s="13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8401</v>
      </c>
      <c r="B11" s="13">
        <f>COUNTIFS(Kickstarter!$F:$F,"successful",Kickstarter!$D:$D,"&gt;=40000",Kickstarter!$D:$D,"&lt;=44999",Kickstarter!$R:$R,"plays")</f>
        <v>2</v>
      </c>
      <c r="C11" s="13">
        <f>COUNTIFS(Kickstarter!$F:$F,"failed",Kickstarter!$D:$D,"&gt;=40000",Kickstarter!$D:$D,"&lt;=44999",Kickstarter!$R:$R,"plays")</f>
        <v>1</v>
      </c>
      <c r="D11" s="13">
        <f>COUNTIFS(Kickstarter!$F:$F,"canceled",Kickstarter!$D:$D,"&gt;=40000",Kickstarter!$D:$D,"&lt;=44999",Kickstarter!$R:$R,"plays")</f>
        <v>0</v>
      </c>
      <c r="E11" s="13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8402</v>
      </c>
      <c r="B12" s="13">
        <f>COUNTIFS(Kickstarter!$F:$F,"successful",Kickstarter!$D:$D,"&gt;=45000",Kickstarter!$D:$D,"&lt;=49999",Kickstarter!$R:$R,"plays")</f>
        <v>0</v>
      </c>
      <c r="C12" s="13">
        <f>COUNTIFS(Kickstarter!$F:$F,"failed",Kickstarter!$D:$D,"&gt;=45000",Kickstarter!$D:$D,"&lt;=49999",Kickstarter!$R:$R,"plays")</f>
        <v>1</v>
      </c>
      <c r="D12" s="13">
        <f>COUNTIFS(Kickstarter!$F:$F,"canceled",Kickstarter!$D:$D,"&gt;=45000",Kickstarter!$D:$D,"&lt;=49999",Kickstarter!$R:$R,"plays")</f>
        <v>0</v>
      </c>
      <c r="E12" s="13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8403</v>
      </c>
      <c r="B13" s="13">
        <f>COUNTIFS(Kickstarter!$F:$F,"successful",Kickstarter!$D:$D,"&gt;=50000",Kickstarter!$R:$R,"plays")</f>
        <v>2</v>
      </c>
      <c r="C13" s="13">
        <f>COUNTIFS(Kickstarter!$F:$F,"failed",Kickstarter!$D:$D,"&gt;=50000",Kickstarter!$R:$R,"plays")</f>
        <v>14</v>
      </c>
      <c r="D13" s="13">
        <f>COUNTIFS(Kickstarter!$F:$F,"canceled",Kickstarter!$D:$D,"&gt;=50000",Kickstarter!$R:$R,"plays")</f>
        <v>0</v>
      </c>
      <c r="E13" s="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  <row r="26" spans="2:5" x14ac:dyDescent="0.25">
      <c r="B26" s="11" t="s">
        <v>8363</v>
      </c>
      <c r="C26" t="s">
        <v>8405</v>
      </c>
      <c r="D26" t="s">
        <v>8406</v>
      </c>
      <c r="E26" t="s">
        <v>8407</v>
      </c>
    </row>
    <row r="27" spans="2:5" x14ac:dyDescent="0.25">
      <c r="B27" s="13" t="s">
        <v>8393</v>
      </c>
      <c r="C27" s="17">
        <v>0.75806451612903225</v>
      </c>
      <c r="D27" s="17">
        <v>0.24193548387096775</v>
      </c>
      <c r="E27" s="17">
        <v>0</v>
      </c>
    </row>
    <row r="28" spans="2:5" x14ac:dyDescent="0.25">
      <c r="B28" s="13" t="s">
        <v>8394</v>
      </c>
      <c r="C28" s="17">
        <v>0.72659176029962547</v>
      </c>
      <c r="D28" s="17">
        <v>0.27340823970037453</v>
      </c>
      <c r="E28" s="17">
        <v>0</v>
      </c>
    </row>
    <row r="29" spans="2:5" x14ac:dyDescent="0.25">
      <c r="B29" s="13" t="s">
        <v>8395</v>
      </c>
      <c r="C29" s="17">
        <v>0.55029585798816572</v>
      </c>
      <c r="D29" s="17">
        <v>0.44970414201183434</v>
      </c>
      <c r="E29" s="17">
        <v>0</v>
      </c>
    </row>
    <row r="30" spans="2:5" x14ac:dyDescent="0.25">
      <c r="B30" s="13" t="s">
        <v>8396</v>
      </c>
      <c r="C30" s="17">
        <v>0.54166666666666663</v>
      </c>
      <c r="D30" s="17">
        <v>0.45833333333333331</v>
      </c>
      <c r="E30" s="17">
        <v>0</v>
      </c>
    </row>
    <row r="31" spans="2:5" x14ac:dyDescent="0.25">
      <c r="B31" s="13" t="s">
        <v>8397</v>
      </c>
      <c r="C31" s="17">
        <v>0.5</v>
      </c>
      <c r="D31" s="17">
        <v>0.5</v>
      </c>
      <c r="E31" s="17">
        <v>0</v>
      </c>
    </row>
    <row r="32" spans="2:5" x14ac:dyDescent="0.25">
      <c r="B32" s="13" t="s">
        <v>8398</v>
      </c>
      <c r="C32" s="17">
        <v>0.45</v>
      </c>
      <c r="D32" s="17">
        <v>0.55000000000000004</v>
      </c>
      <c r="E32" s="17">
        <v>0</v>
      </c>
    </row>
    <row r="33" spans="2:5" x14ac:dyDescent="0.25">
      <c r="B33" s="13" t="s">
        <v>8399</v>
      </c>
      <c r="C33" s="17">
        <v>0.2</v>
      </c>
      <c r="D33" s="17">
        <v>0.8</v>
      </c>
      <c r="E33" s="17">
        <v>0</v>
      </c>
    </row>
    <row r="34" spans="2:5" x14ac:dyDescent="0.25">
      <c r="B34" s="13" t="s">
        <v>8400</v>
      </c>
      <c r="C34" s="17">
        <v>0.27272727272727271</v>
      </c>
      <c r="D34" s="17">
        <v>0.72727272727272729</v>
      </c>
      <c r="E34" s="17">
        <v>0</v>
      </c>
    </row>
    <row r="35" spans="2:5" x14ac:dyDescent="0.25">
      <c r="B35" s="13" t="s">
        <v>8404</v>
      </c>
      <c r="C35" s="17">
        <v>0.66666666666666663</v>
      </c>
      <c r="D35" s="17">
        <v>0.33333333333333331</v>
      </c>
      <c r="E35" s="17">
        <v>0</v>
      </c>
    </row>
    <row r="36" spans="2:5" x14ac:dyDescent="0.25">
      <c r="B36" s="13" t="s">
        <v>8401</v>
      </c>
      <c r="C36" s="17">
        <v>0.66666666666666663</v>
      </c>
      <c r="D36" s="17">
        <v>0.33333333333333331</v>
      </c>
      <c r="E36" s="17">
        <v>0</v>
      </c>
    </row>
    <row r="37" spans="2:5" x14ac:dyDescent="0.25">
      <c r="B37" s="13" t="s">
        <v>8402</v>
      </c>
      <c r="C37" s="17">
        <v>0</v>
      </c>
      <c r="D37" s="17">
        <v>1</v>
      </c>
      <c r="E37" s="17">
        <v>0</v>
      </c>
    </row>
    <row r="38" spans="2:5" x14ac:dyDescent="0.25">
      <c r="B38" s="13" t="s">
        <v>8403</v>
      </c>
      <c r="C38" s="17">
        <v>0.125</v>
      </c>
      <c r="D38" s="17">
        <v>0.875</v>
      </c>
      <c r="E38" s="17">
        <v>0</v>
      </c>
    </row>
    <row r="39" spans="2:5" x14ac:dyDescent="0.25">
      <c r="B39" s="13" t="s">
        <v>8361</v>
      </c>
      <c r="C39" s="12">
        <v>5.4576794071440968</v>
      </c>
      <c r="D39" s="12">
        <v>6.5423205928559032</v>
      </c>
      <c r="E39" s="12">
        <v>0</v>
      </c>
    </row>
  </sheetData>
  <pageMargins left="0.7" right="0.7" top="0.75" bottom="0.75" header="0.3" footer="0.3"/>
  <pageSetup orientation="portrait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F8984-CF45-46BD-8B90-3ED6CCB962C8}">
  <dimension ref="A1:F6"/>
  <sheetViews>
    <sheetView workbookViewId="0">
      <selection activeCell="B2" sqref="B2"/>
    </sheetView>
  </sheetViews>
  <sheetFormatPr defaultRowHeight="15" x14ac:dyDescent="0.25"/>
  <cols>
    <col min="1" max="1" width="33.5703125" bestFit="1" customWidth="1"/>
    <col min="2" max="2" width="121.85546875" bestFit="1" customWidth="1"/>
    <col min="5" max="5" width="18" bestFit="1" customWidth="1"/>
    <col min="6" max="6" width="11.42578125" bestFit="1" customWidth="1"/>
  </cols>
  <sheetData>
    <row r="1" spans="1:6" x14ac:dyDescent="0.2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56AFD-3D2B-4FD9-85EC-D454D3069F27}">
  <dimension ref="A1:F6"/>
  <sheetViews>
    <sheetView workbookViewId="0">
      <selection activeCell="F22" sqref="F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8362</v>
      </c>
      <c r="B3" s="11" t="s">
        <v>8360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3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A17C1-185E-49D9-9FB2-AF9E76458A12}">
  <dimension ref="A1:E7"/>
  <sheetViews>
    <sheetView workbookViewId="0">
      <selection activeCell="E38" sqref="E3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8362</v>
      </c>
      <c r="B4" s="11" t="s">
        <v>8360</v>
      </c>
    </row>
    <row r="5" spans="1:5" x14ac:dyDescent="0.25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3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Outcomes Based on Goals</vt:lpstr>
      <vt:lpstr>Edinburgh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Riri</cp:lastModifiedBy>
  <dcterms:created xsi:type="dcterms:W3CDTF">2017-04-20T15:17:24Z</dcterms:created>
  <dcterms:modified xsi:type="dcterms:W3CDTF">2022-04-02T10:12:31Z</dcterms:modified>
</cp:coreProperties>
</file>