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twintern\Jana\Work\Emily\Files\"/>
    </mc:Choice>
  </mc:AlternateContent>
  <xr:revisionPtr revIDLastSave="0" documentId="8_{08F21A00-F74E-405D-80F5-FA274BEABCCD}" xr6:coauthVersionLast="47" xr6:coauthVersionMax="47" xr10:uidLastSave="{00000000-0000-0000-0000-000000000000}"/>
  <bookViews>
    <workbookView xWindow="-108" yWindow="-108" windowWidth="23256" windowHeight="12576" tabRatio="454" xr2:uid="{00000000-000D-0000-FFFF-FFFF00000000}"/>
  </bookViews>
  <sheets>
    <sheet name="TW - ASML Scara XT" sheetId="2" r:id="rId1"/>
    <sheet name="Component Costs" sheetId="4" r:id="rId2"/>
    <sheet name="Sheet1" sheetId="9" r:id="rId3"/>
    <sheet name="History" sheetId="3" r:id="rId4"/>
    <sheet name="Calc." sheetId="7" r:id="rId5"/>
    <sheet name="Internal" sheetId="8" r:id="rId6"/>
  </sheets>
  <externalReferences>
    <externalReference r:id="rId7"/>
  </externalReferences>
  <definedNames>
    <definedName name="Arm_No" localSheetId="5">#REF!</definedName>
    <definedName name="Arm_No">#REF!</definedName>
    <definedName name="DM_No" localSheetId="5">#REF!</definedName>
    <definedName name="DM_No">#REF!</definedName>
    <definedName name="_xlnm.Print_Area" localSheetId="4">'Calc.'!$A$263:$G$271</definedName>
    <definedName name="_xlnm.Print_Area" localSheetId="5">Internal!$A$1:$Y$82</definedName>
    <definedName name="_xlnm.Print_Area" localSheetId="0">'TW - ASML Scara XT'!$A$1:$G$81</definedName>
    <definedName name="Stundensatz" localSheetId="4">'Calc.'!$M$1</definedName>
    <definedName name="Stundensatz">'[1]old - Scara - NT'!$P$1</definedName>
    <definedName name="Stundensatzs">'Calc.'!$M$1</definedName>
    <definedName name="TYPE">Sheet1!$B$33:$C$39</definedName>
    <definedName name="Z_No" localSheetId="5">#REF!</definedName>
    <definedName name="Z_No">#REF!</definedName>
    <definedName name="zuschlag" localSheetId="4">'Calc.'!#REF!</definedName>
    <definedName name="Zuschlag">[1]Verpackung!$G$3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9" l="1"/>
  <c r="H5" i="9"/>
  <c r="H6" i="9"/>
  <c r="H7" i="9"/>
  <c r="H3" i="9"/>
  <c r="F5" i="9" l="1"/>
  <c r="D5" i="9"/>
  <c r="D7" i="9"/>
  <c r="D6" i="9"/>
  <c r="D4" i="9"/>
  <c r="D3" i="9"/>
  <c r="F7" i="9"/>
  <c r="F6" i="9"/>
  <c r="F4" i="9"/>
  <c r="F3" i="9"/>
  <c r="D8" i="9" l="1"/>
  <c r="F8" i="9"/>
  <c r="E73" i="2"/>
  <c r="E9" i="8" l="1"/>
  <c r="E8" i="8"/>
  <c r="E7" i="8"/>
  <c r="B9" i="8"/>
  <c r="B8" i="8"/>
  <c r="B7" i="8"/>
  <c r="C4" i="8"/>
  <c r="G6" i="8"/>
  <c r="G5" i="8"/>
  <c r="G4" i="8"/>
  <c r="C5" i="8"/>
  <c r="G68" i="8"/>
  <c r="G69" i="8"/>
  <c r="G70" i="8"/>
  <c r="G71" i="8"/>
  <c r="G72" i="8"/>
  <c r="G73" i="8"/>
  <c r="G74" i="8"/>
  <c r="G75" i="8"/>
  <c r="G76" i="8"/>
  <c r="G77" i="8"/>
  <c r="G78" i="8"/>
  <c r="G79" i="8"/>
  <c r="G61" i="8"/>
  <c r="S256" i="7"/>
  <c r="G259" i="7"/>
  <c r="O256" i="7"/>
  <c r="E258" i="7"/>
  <c r="G257" i="7"/>
  <c r="G258" i="7" s="1"/>
  <c r="G260" i="7" s="1"/>
  <c r="Q256" i="7" l="1"/>
  <c r="D60" i="8"/>
  <c r="G60" i="8" s="1"/>
  <c r="P256" i="7"/>
  <c r="D60" i="2"/>
  <c r="F60" i="2" s="1"/>
  <c r="T256" i="7" s="1"/>
  <c r="V256" i="7" s="1"/>
  <c r="U256" i="7"/>
  <c r="I256" i="7"/>
  <c r="E78" i="8"/>
  <c r="E68" i="8"/>
  <c r="W256" i="7" l="1"/>
  <c r="R256" i="7"/>
  <c r="F73" i="2"/>
  <c r="T281" i="7"/>
  <c r="S281" i="7"/>
  <c r="T271" i="7"/>
  <c r="S271" i="7"/>
  <c r="F68" i="2"/>
  <c r="R271" i="7" s="1"/>
  <c r="F69" i="2"/>
  <c r="F70" i="2"/>
  <c r="F71" i="2"/>
  <c r="F72" i="2"/>
  <c r="F74" i="2"/>
  <c r="F75" i="2"/>
  <c r="F76" i="2"/>
  <c r="F79" i="2"/>
  <c r="F78" i="2"/>
  <c r="R281" i="7" s="1"/>
  <c r="V281" i="7" l="1"/>
  <c r="U281" i="7"/>
  <c r="V271" i="7"/>
  <c r="U271" i="7"/>
  <c r="W281" i="7" l="1"/>
  <c r="W271" i="7"/>
  <c r="E270" i="7"/>
  <c r="E69" i="8" l="1"/>
  <c r="E70" i="8"/>
  <c r="E71" i="8"/>
  <c r="E72" i="8"/>
  <c r="E73" i="8"/>
  <c r="E74" i="8"/>
  <c r="E75" i="8"/>
  <c r="E76" i="8"/>
  <c r="E77" i="8"/>
  <c r="E79" i="8"/>
  <c r="S263" i="7"/>
  <c r="E268" i="7"/>
  <c r="E269" i="7"/>
  <c r="G266" i="7"/>
  <c r="E267" i="7"/>
  <c r="E266" i="7"/>
  <c r="E265" i="7"/>
  <c r="G265" i="7" l="1"/>
  <c r="G267" i="7"/>
  <c r="P263" i="7" l="1"/>
  <c r="Q263" i="7"/>
  <c r="R263" i="7" s="1"/>
  <c r="U263" i="7"/>
  <c r="D23" i="8"/>
  <c r="D23" i="2"/>
  <c r="F23" i="2" s="1"/>
  <c r="T263" i="7" s="1"/>
  <c r="V263" i="7" s="1"/>
  <c r="D67" i="2"/>
  <c r="D77" i="2"/>
  <c r="F77" i="2" s="1"/>
  <c r="W263" i="7" l="1"/>
  <c r="C3" i="4"/>
  <c r="C5" i="4"/>
  <c r="C7" i="4"/>
  <c r="B7" i="4"/>
  <c r="B5" i="4"/>
  <c r="B3" i="4"/>
  <c r="E63" i="8" l="1"/>
  <c r="E54" i="8"/>
  <c r="E47" i="8"/>
  <c r="T276" i="7"/>
  <c r="T282" i="7"/>
  <c r="S282" i="7"/>
  <c r="T280" i="7"/>
  <c r="S280" i="7"/>
  <c r="T279" i="7"/>
  <c r="S279" i="7"/>
  <c r="T278" i="7"/>
  <c r="S278" i="7"/>
  <c r="T277" i="7"/>
  <c r="S277" i="7"/>
  <c r="T275" i="7"/>
  <c r="S275" i="7"/>
  <c r="T274" i="7"/>
  <c r="S274" i="7"/>
  <c r="S273" i="7"/>
  <c r="T273" i="7"/>
  <c r="T272" i="7"/>
  <c r="S272" i="7"/>
  <c r="S270" i="7"/>
  <c r="T270" i="7"/>
  <c r="G62" i="8"/>
  <c r="G28" i="8"/>
  <c r="G24" i="8"/>
  <c r="G23" i="8"/>
  <c r="E67" i="8"/>
  <c r="E62" i="8"/>
  <c r="E61" i="8"/>
  <c r="E60" i="8"/>
  <c r="E59" i="8"/>
  <c r="E58" i="8"/>
  <c r="E57" i="8"/>
  <c r="E56" i="8"/>
  <c r="E53" i="8"/>
  <c r="E52" i="8"/>
  <c r="E51" i="8"/>
  <c r="E50" i="8"/>
  <c r="E49" i="8"/>
  <c r="E46" i="8"/>
  <c r="E45" i="8"/>
  <c r="E44" i="8"/>
  <c r="E43" i="8"/>
  <c r="E42" i="8"/>
  <c r="E41" i="8"/>
  <c r="E40" i="8"/>
  <c r="E39" i="8"/>
  <c r="E38" i="8"/>
  <c r="E37" i="8"/>
  <c r="E36" i="8"/>
  <c r="E35" i="8"/>
  <c r="E29" i="8"/>
  <c r="E28" i="8"/>
  <c r="E27" i="8"/>
  <c r="E26" i="8"/>
  <c r="E25" i="8"/>
  <c r="E23" i="8"/>
  <c r="E22" i="8"/>
  <c r="E18" i="8"/>
  <c r="E17" i="8"/>
  <c r="E15" i="8"/>
  <c r="E13" i="8"/>
  <c r="G67" i="8"/>
  <c r="O247" i="7"/>
  <c r="O241" i="7"/>
  <c r="O235" i="7"/>
  <c r="O228" i="7"/>
  <c r="O222" i="7"/>
  <c r="O214" i="7"/>
  <c r="O201" i="7"/>
  <c r="O195" i="7"/>
  <c r="O189" i="7"/>
  <c r="O183" i="7"/>
  <c r="O177" i="7"/>
  <c r="O171" i="7"/>
  <c r="O165" i="7"/>
  <c r="O159" i="7"/>
  <c r="O153" i="7"/>
  <c r="O147" i="7"/>
  <c r="O141" i="7"/>
  <c r="O133" i="7"/>
  <c r="O122" i="7"/>
  <c r="O110" i="7"/>
  <c r="O101" i="7"/>
  <c r="O91" i="7"/>
  <c r="O80" i="7"/>
  <c r="O72" i="7"/>
  <c r="O63" i="7"/>
  <c r="O57" i="7"/>
  <c r="O51" i="7"/>
  <c r="O44" i="7"/>
  <c r="O34" i="7"/>
  <c r="O24" i="7"/>
  <c r="O10" i="7"/>
  <c r="O2" i="7"/>
  <c r="G80" i="8" l="1"/>
  <c r="S276" i="7"/>
  <c r="A282" i="7"/>
  <c r="A283" i="7" s="1"/>
  <c r="E252" i="7"/>
  <c r="E251" i="7"/>
  <c r="G250" i="7"/>
  <c r="E250" i="7"/>
  <c r="E249" i="7"/>
  <c r="G248" i="7"/>
  <c r="G244" i="7"/>
  <c r="E244" i="7"/>
  <c r="E243" i="7"/>
  <c r="G242" i="7"/>
  <c r="G238" i="7"/>
  <c r="E238" i="7"/>
  <c r="E237" i="7"/>
  <c r="G236" i="7"/>
  <c r="E232" i="7"/>
  <c r="G231" i="7"/>
  <c r="E231" i="7"/>
  <c r="E230" i="7"/>
  <c r="G229" i="7"/>
  <c r="G225" i="7"/>
  <c r="E224" i="7"/>
  <c r="G223" i="7"/>
  <c r="E220" i="7"/>
  <c r="D219" i="7"/>
  <c r="E219" i="7" s="1"/>
  <c r="E218" i="7"/>
  <c r="G217" i="7"/>
  <c r="E217" i="7"/>
  <c r="E216" i="7"/>
  <c r="G215" i="7"/>
  <c r="G204" i="7"/>
  <c r="E203" i="7"/>
  <c r="G202" i="7"/>
  <c r="G198" i="7"/>
  <c r="E197" i="7"/>
  <c r="G196" i="7"/>
  <c r="E193" i="7"/>
  <c r="G192" i="7"/>
  <c r="E192" i="7"/>
  <c r="E191" i="7"/>
  <c r="G190" i="7"/>
  <c r="G186" i="7"/>
  <c r="E185" i="7"/>
  <c r="G184" i="7"/>
  <c r="G180" i="7"/>
  <c r="E179" i="7"/>
  <c r="G178" i="7"/>
  <c r="G174" i="7"/>
  <c r="E173" i="7"/>
  <c r="G172" i="7"/>
  <c r="G168" i="7"/>
  <c r="E167" i="7"/>
  <c r="G166" i="7"/>
  <c r="G162" i="7"/>
  <c r="E162" i="7"/>
  <c r="E161" i="7"/>
  <c r="G160" i="7"/>
  <c r="G156" i="7"/>
  <c r="E155" i="7"/>
  <c r="G154" i="7"/>
  <c r="G150" i="7"/>
  <c r="E149" i="7"/>
  <c r="G148" i="7"/>
  <c r="G144" i="7"/>
  <c r="E143" i="7"/>
  <c r="G142" i="7"/>
  <c r="G143" i="7" s="1"/>
  <c r="D139" i="7"/>
  <c r="E139" i="7" s="1"/>
  <c r="E138" i="7"/>
  <c r="E137" i="7"/>
  <c r="G136" i="7"/>
  <c r="E136" i="7"/>
  <c r="E135" i="7"/>
  <c r="G134" i="7"/>
  <c r="E127" i="7"/>
  <c r="G126" i="7"/>
  <c r="E126" i="7"/>
  <c r="E125" i="7"/>
  <c r="G124" i="7"/>
  <c r="E124" i="7"/>
  <c r="E119" i="7"/>
  <c r="E118" i="7"/>
  <c r="E117" i="7"/>
  <c r="E116" i="7"/>
  <c r="E115" i="7"/>
  <c r="G114" i="7"/>
  <c r="E114" i="7"/>
  <c r="E113" i="7"/>
  <c r="G112" i="7"/>
  <c r="E112" i="7"/>
  <c r="E108" i="7"/>
  <c r="E107" i="7"/>
  <c r="E106" i="7"/>
  <c r="E105" i="7"/>
  <c r="G104" i="7"/>
  <c r="E104" i="7"/>
  <c r="E103" i="7"/>
  <c r="G102" i="7"/>
  <c r="G95" i="7"/>
  <c r="E95" i="7"/>
  <c r="E94" i="7"/>
  <c r="G93" i="7"/>
  <c r="E93" i="7"/>
  <c r="E88" i="7"/>
  <c r="E87" i="7"/>
  <c r="E86" i="7"/>
  <c r="E85" i="7"/>
  <c r="G84" i="7"/>
  <c r="E84" i="7"/>
  <c r="E83" i="7"/>
  <c r="G82" i="7"/>
  <c r="E82" i="7"/>
  <c r="D78" i="7"/>
  <c r="E78" i="7" s="1"/>
  <c r="E77" i="7"/>
  <c r="G76" i="7"/>
  <c r="E76" i="7"/>
  <c r="E75" i="7"/>
  <c r="G74" i="7"/>
  <c r="E74" i="7"/>
  <c r="G66" i="7"/>
  <c r="E66" i="7"/>
  <c r="E65" i="7"/>
  <c r="G64" i="7"/>
  <c r="G60" i="7"/>
  <c r="E60" i="7"/>
  <c r="E59" i="7"/>
  <c r="G58" i="7"/>
  <c r="G54" i="7"/>
  <c r="E53" i="7"/>
  <c r="G52" i="7"/>
  <c r="E49" i="7"/>
  <c r="G48" i="7"/>
  <c r="E48" i="7"/>
  <c r="E47" i="7"/>
  <c r="G46" i="7"/>
  <c r="E42" i="7"/>
  <c r="E41" i="7"/>
  <c r="E40" i="7"/>
  <c r="G39" i="7"/>
  <c r="E39" i="7"/>
  <c r="E38" i="7"/>
  <c r="G37" i="7"/>
  <c r="E37" i="7"/>
  <c r="E32" i="7"/>
  <c r="E31" i="7"/>
  <c r="E30" i="7"/>
  <c r="E29" i="7"/>
  <c r="G28" i="7"/>
  <c r="E28" i="7"/>
  <c r="E27" i="7"/>
  <c r="G26" i="7"/>
  <c r="E21" i="7"/>
  <c r="E16" i="7"/>
  <c r="E15" i="7"/>
  <c r="G14" i="7"/>
  <c r="E14" i="7"/>
  <c r="E13" i="7"/>
  <c r="G12" i="7"/>
  <c r="D20" i="7" s="1"/>
  <c r="E20" i="7" s="1"/>
  <c r="D8" i="7"/>
  <c r="E8" i="7" s="1"/>
  <c r="E7" i="7"/>
  <c r="E6" i="7"/>
  <c r="G5" i="7"/>
  <c r="E5" i="7"/>
  <c r="G3" i="7"/>
  <c r="Q17" i="8" l="1"/>
  <c r="V36" i="8" s="1"/>
  <c r="G179" i="7"/>
  <c r="G181" i="7" s="1"/>
  <c r="D50" i="8" s="1"/>
  <c r="G50" i="8" s="1"/>
  <c r="G103" i="7"/>
  <c r="G105" i="7" s="1"/>
  <c r="D37" i="8" s="1"/>
  <c r="G37" i="8" s="1"/>
  <c r="G197" i="7"/>
  <c r="G199" i="7" s="1"/>
  <c r="D56" i="8" s="1"/>
  <c r="G56" i="8" s="1"/>
  <c r="G47" i="7"/>
  <c r="G49" i="7" s="1"/>
  <c r="G65" i="7"/>
  <c r="G67" i="7" s="1"/>
  <c r="D27" i="8" s="1"/>
  <c r="G27" i="8" s="1"/>
  <c r="G224" i="7"/>
  <c r="G226" i="7" s="1"/>
  <c r="P222" i="7" s="1"/>
  <c r="S222" i="7" s="1"/>
  <c r="U222" i="7" s="1"/>
  <c r="G249" i="7"/>
  <c r="G251" i="7" s="1"/>
  <c r="G125" i="7"/>
  <c r="G127" i="7" s="1"/>
  <c r="D39" i="8" s="1"/>
  <c r="G39" i="8" s="1"/>
  <c r="G149" i="7"/>
  <c r="G151" i="7" s="1"/>
  <c r="G167" i="7"/>
  <c r="G169" i="7" s="1"/>
  <c r="D45" i="8" s="1"/>
  <c r="G45" i="8" s="1"/>
  <c r="G145" i="7"/>
  <c r="D41" i="8" s="1"/>
  <c r="G41" i="8" s="1"/>
  <c r="G53" i="7"/>
  <c r="G55" i="7" s="1"/>
  <c r="D25" i="8" s="1"/>
  <c r="G25" i="8" s="1"/>
  <c r="G94" i="7"/>
  <c r="G96" i="7" s="1"/>
  <c r="G173" i="7"/>
  <c r="G175" i="7" s="1"/>
  <c r="D49" i="8" s="1"/>
  <c r="G49" i="8" s="1"/>
  <c r="G237" i="7"/>
  <c r="G239" i="7" s="1"/>
  <c r="D58" i="8" s="1"/>
  <c r="G58" i="8" s="1"/>
  <c r="G191" i="7"/>
  <c r="G193" i="7" s="1"/>
  <c r="D52" i="8" s="1"/>
  <c r="G52" i="8" s="1"/>
  <c r="G83" i="7"/>
  <c r="G85" i="7" s="1"/>
  <c r="D35" i="8" s="1"/>
  <c r="G35" i="8" s="1"/>
  <c r="G185" i="7"/>
  <c r="G187" i="7" s="1"/>
  <c r="G203" i="7"/>
  <c r="G205" i="7" s="1"/>
  <c r="D57" i="8" s="1"/>
  <c r="G57" i="8" s="1"/>
  <c r="D18" i="7"/>
  <c r="E18" i="7" s="1"/>
  <c r="G155" i="7"/>
  <c r="G157" i="7" s="1"/>
  <c r="D43" i="8" s="1"/>
  <c r="G43" i="8" s="1"/>
  <c r="G161" i="7"/>
  <c r="G163" i="7" s="1"/>
  <c r="D44" i="8" s="1"/>
  <c r="G44" i="8" s="1"/>
  <c r="G230" i="7"/>
  <c r="G232" i="7" s="1"/>
  <c r="G135" i="7"/>
  <c r="G137" i="7" s="1"/>
  <c r="D40" i="8" s="1"/>
  <c r="G40" i="8" s="1"/>
  <c r="G38" i="7"/>
  <c r="G40" i="7" s="1"/>
  <c r="D18" i="8" s="1"/>
  <c r="G18" i="8" s="1"/>
  <c r="G243" i="7"/>
  <c r="G245" i="7" s="1"/>
  <c r="D59" i="8" s="1"/>
  <c r="G59" i="8" s="1"/>
  <c r="G4" i="7"/>
  <c r="G6" i="7" s="1"/>
  <c r="D13" i="8" s="1"/>
  <c r="G13" i="8" s="1"/>
  <c r="G27" i="7"/>
  <c r="G29" i="7" s="1"/>
  <c r="D17" i="8" s="1"/>
  <c r="G17" i="8" s="1"/>
  <c r="G59" i="7"/>
  <c r="G61" i="7" s="1"/>
  <c r="D26" i="8" s="1"/>
  <c r="G26" i="8" s="1"/>
  <c r="G113" i="7"/>
  <c r="G115" i="7" s="1"/>
  <c r="D38" i="8" s="1"/>
  <c r="G38" i="8" s="1"/>
  <c r="G216" i="7"/>
  <c r="G218" i="7" s="1"/>
  <c r="G75" i="7"/>
  <c r="G77" i="7" s="1"/>
  <c r="D29" i="8" s="1"/>
  <c r="G29" i="8" s="1"/>
  <c r="D19" i="7"/>
  <c r="D17" i="7"/>
  <c r="E17" i="7" s="1"/>
  <c r="I247" i="7" l="1"/>
  <c r="P247" i="7"/>
  <c r="Q247" i="7"/>
  <c r="R247" i="7" s="1"/>
  <c r="D22" i="8"/>
  <c r="G22" i="8" s="1"/>
  <c r="Q14" i="8" s="1"/>
  <c r="D22" i="2"/>
  <c r="I44" i="7"/>
  <c r="Q177" i="7"/>
  <c r="I177" i="7"/>
  <c r="D42" i="8"/>
  <c r="G42" i="8" s="1"/>
  <c r="P147" i="7"/>
  <c r="S147" i="7" s="1"/>
  <c r="U147" i="7" s="1"/>
  <c r="D51" i="8"/>
  <c r="G51" i="8" s="1"/>
  <c r="Q183" i="7"/>
  <c r="T183" i="7" s="1"/>
  <c r="V183" i="7" s="1"/>
  <c r="I2" i="7"/>
  <c r="P44" i="7"/>
  <c r="S44" i="7" s="1"/>
  <c r="U44" i="7" s="1"/>
  <c r="Q44" i="7"/>
  <c r="T44" i="7" s="1"/>
  <c r="V44" i="7" s="1"/>
  <c r="D50" i="2"/>
  <c r="P122" i="7"/>
  <c r="S122" i="7" s="1"/>
  <c r="U122" i="7" s="1"/>
  <c r="I222" i="7"/>
  <c r="Q141" i="7"/>
  <c r="T141" i="7" s="1"/>
  <c r="V141" i="7" s="1"/>
  <c r="P177" i="7"/>
  <c r="S177" i="7" s="1"/>
  <c r="U177" i="7" s="1"/>
  <c r="Q122" i="7"/>
  <c r="R122" i="7" s="1"/>
  <c r="P141" i="7"/>
  <c r="S141" i="7" s="1"/>
  <c r="U141" i="7" s="1"/>
  <c r="D39" i="2"/>
  <c r="Q222" i="7"/>
  <c r="T222" i="7" s="1"/>
  <c r="V222" i="7" s="1"/>
  <c r="W222" i="7" s="1"/>
  <c r="I122" i="7"/>
  <c r="I141" i="7"/>
  <c r="D41" i="2"/>
  <c r="G70" i="7"/>
  <c r="P183" i="7"/>
  <c r="S183" i="7" s="1"/>
  <c r="U183" i="7" s="1"/>
  <c r="Q147" i="7"/>
  <c r="T147" i="7" s="1"/>
  <c r="V147" i="7" s="1"/>
  <c r="D42" i="2"/>
  <c r="D51" i="2"/>
  <c r="I183" i="7"/>
  <c r="I147" i="7"/>
  <c r="D36" i="8"/>
  <c r="G36" i="8" s="1"/>
  <c r="P91" i="7"/>
  <c r="S91" i="7" s="1"/>
  <c r="U91" i="7" s="1"/>
  <c r="Q91" i="7"/>
  <c r="T91" i="7" s="1"/>
  <c r="V91" i="7" s="1"/>
  <c r="I91" i="7"/>
  <c r="T122" i="7"/>
  <c r="V122" i="7" s="1"/>
  <c r="I190" i="7"/>
  <c r="T177" i="7"/>
  <c r="V177" i="7" s="1"/>
  <c r="Q15" i="8"/>
  <c r="Q189" i="7"/>
  <c r="T189" i="7" s="1"/>
  <c r="V189" i="7" s="1"/>
  <c r="D46" i="8"/>
  <c r="G46" i="8" s="1"/>
  <c r="D46" i="2"/>
  <c r="F46" i="2" s="1"/>
  <c r="D52" i="2"/>
  <c r="D36" i="2"/>
  <c r="D53" i="8"/>
  <c r="G53" i="8" s="1"/>
  <c r="D53" i="2"/>
  <c r="F53" i="2" s="1"/>
  <c r="T247" i="7" s="1"/>
  <c r="V247" i="7" s="1"/>
  <c r="P189" i="7"/>
  <c r="S189" i="7" s="1"/>
  <c r="U189" i="7" s="1"/>
  <c r="S247" i="7"/>
  <c r="U247" i="7" s="1"/>
  <c r="I153" i="7"/>
  <c r="P153" i="7"/>
  <c r="S153" i="7" s="1"/>
  <c r="U153" i="7" s="1"/>
  <c r="Q153" i="7"/>
  <c r="D43" i="2"/>
  <c r="I133" i="7"/>
  <c r="Q133" i="7"/>
  <c r="T133" i="7" s="1"/>
  <c r="V133" i="7" s="1"/>
  <c r="D40" i="2"/>
  <c r="P133" i="7"/>
  <c r="S133" i="7" s="1"/>
  <c r="U133" i="7" s="1"/>
  <c r="I159" i="7"/>
  <c r="D44" i="2"/>
  <c r="P159" i="7"/>
  <c r="S159" i="7" s="1"/>
  <c r="U159" i="7" s="1"/>
  <c r="Q159" i="7"/>
  <c r="T159" i="7" s="1"/>
  <c r="V159" i="7" s="1"/>
  <c r="I214" i="7"/>
  <c r="P214" i="7"/>
  <c r="S214" i="7" s="1"/>
  <c r="U214" i="7" s="1"/>
  <c r="Q214" i="7"/>
  <c r="I24" i="7"/>
  <c r="D17" i="2"/>
  <c r="Q24" i="7"/>
  <c r="T24" i="7" s="1"/>
  <c r="V24" i="7" s="1"/>
  <c r="P24" i="7"/>
  <c r="S24" i="7" s="1"/>
  <c r="U24" i="7" s="1"/>
  <c r="I72" i="7"/>
  <c r="P72" i="7"/>
  <c r="S72" i="7" s="1"/>
  <c r="U72" i="7" s="1"/>
  <c r="D29" i="2"/>
  <c r="Q72" i="7"/>
  <c r="I110" i="7"/>
  <c r="Q110" i="7"/>
  <c r="T110" i="7" s="1"/>
  <c r="V110" i="7" s="1"/>
  <c r="D38" i="2"/>
  <c r="P110" i="7"/>
  <c r="S110" i="7" s="1"/>
  <c r="U110" i="7" s="1"/>
  <c r="I165" i="7"/>
  <c r="D45" i="2"/>
  <c r="P165" i="7"/>
  <c r="S165" i="7" s="1"/>
  <c r="U165" i="7" s="1"/>
  <c r="Q165" i="7"/>
  <c r="I201" i="7"/>
  <c r="Q201" i="7"/>
  <c r="T201" i="7" s="1"/>
  <c r="V201" i="7" s="1"/>
  <c r="D57" i="2"/>
  <c r="P201" i="7"/>
  <c r="S201" i="7" s="1"/>
  <c r="U201" i="7" s="1"/>
  <c r="I241" i="7"/>
  <c r="D59" i="2"/>
  <c r="F59" i="2" s="1"/>
  <c r="P241" i="7"/>
  <c r="S241" i="7" s="1"/>
  <c r="U241" i="7" s="1"/>
  <c r="Q241" i="7"/>
  <c r="G13" i="7"/>
  <c r="G15" i="7" s="1"/>
  <c r="D15" i="8" s="1"/>
  <c r="I235" i="7"/>
  <c r="D58" i="2"/>
  <c r="F58" i="2" s="1"/>
  <c r="Q235" i="7"/>
  <c r="T235" i="7" s="1"/>
  <c r="V235" i="7" s="1"/>
  <c r="P235" i="7"/>
  <c r="S235" i="7" s="1"/>
  <c r="U235" i="7" s="1"/>
  <c r="I80" i="7"/>
  <c r="D35" i="2"/>
  <c r="P80" i="7"/>
  <c r="S80" i="7" s="1"/>
  <c r="U80" i="7" s="1"/>
  <c r="Q80" i="7"/>
  <c r="T80" i="7" s="1"/>
  <c r="V80" i="7" s="1"/>
  <c r="I63" i="7"/>
  <c r="D27" i="2"/>
  <c r="Q63" i="7"/>
  <c r="T63" i="7" s="1"/>
  <c r="V63" i="7" s="1"/>
  <c r="P63" i="7"/>
  <c r="S63" i="7" s="1"/>
  <c r="U63" i="7" s="1"/>
  <c r="I57" i="7"/>
  <c r="D26" i="2"/>
  <c r="Q57" i="7"/>
  <c r="T57" i="7" s="1"/>
  <c r="V57" i="7" s="1"/>
  <c r="P57" i="7"/>
  <c r="S57" i="7" s="1"/>
  <c r="U57" i="7" s="1"/>
  <c r="I101" i="7"/>
  <c r="D37" i="2"/>
  <c r="P101" i="7"/>
  <c r="S101" i="7" s="1"/>
  <c r="U101" i="7" s="1"/>
  <c r="Q101" i="7"/>
  <c r="T101" i="7" s="1"/>
  <c r="V101" i="7" s="1"/>
  <c r="I228" i="7"/>
  <c r="Q228" i="7"/>
  <c r="T228" i="7" s="1"/>
  <c r="V228" i="7" s="1"/>
  <c r="P228" i="7"/>
  <c r="S228" i="7" s="1"/>
  <c r="U228" i="7" s="1"/>
  <c r="I171" i="7"/>
  <c r="Q171" i="7"/>
  <c r="T171" i="7" s="1"/>
  <c r="V171" i="7" s="1"/>
  <c r="D49" i="2"/>
  <c r="P171" i="7"/>
  <c r="S171" i="7" s="1"/>
  <c r="U171" i="7" s="1"/>
  <c r="I195" i="7"/>
  <c r="Q195" i="7"/>
  <c r="T195" i="7" s="1"/>
  <c r="V195" i="7" s="1"/>
  <c r="D56" i="2"/>
  <c r="P195" i="7"/>
  <c r="S195" i="7" s="1"/>
  <c r="U195" i="7" s="1"/>
  <c r="I51" i="7"/>
  <c r="P51" i="7"/>
  <c r="S51" i="7" s="1"/>
  <c r="U51" i="7" s="1"/>
  <c r="D25" i="2"/>
  <c r="Q51" i="7"/>
  <c r="D13" i="2"/>
  <c r="P2" i="7"/>
  <c r="S2" i="7" s="1"/>
  <c r="Q2" i="7"/>
  <c r="T2" i="7" s="1"/>
  <c r="I34" i="7"/>
  <c r="D18" i="2"/>
  <c r="P34" i="7"/>
  <c r="S34" i="7" s="1"/>
  <c r="U34" i="7" s="1"/>
  <c r="Q34" i="7"/>
  <c r="T34" i="7" s="1"/>
  <c r="V34" i="7" s="1"/>
  <c r="T36" i="8" l="1"/>
  <c r="G30" i="8"/>
  <c r="R44" i="7"/>
  <c r="R177" i="7"/>
  <c r="W183" i="7"/>
  <c r="W44" i="7"/>
  <c r="W122" i="7"/>
  <c r="W177" i="7"/>
  <c r="W147" i="7"/>
  <c r="W141" i="7"/>
  <c r="R141" i="7"/>
  <c r="R183" i="7"/>
  <c r="R147" i="7"/>
  <c r="R222" i="7"/>
  <c r="W189" i="7"/>
  <c r="W159" i="7"/>
  <c r="U2" i="7"/>
  <c r="V2" i="7"/>
  <c r="W80" i="7"/>
  <c r="W171" i="7"/>
  <c r="R91" i="7"/>
  <c r="W101" i="7"/>
  <c r="W228" i="7"/>
  <c r="W34" i="7"/>
  <c r="W201" i="7"/>
  <c r="W110" i="7"/>
  <c r="W91" i="7"/>
  <c r="W57" i="7"/>
  <c r="W247" i="7"/>
  <c r="W63" i="7"/>
  <c r="W24" i="7"/>
  <c r="W133" i="7"/>
  <c r="W195" i="7"/>
  <c r="W235" i="7"/>
  <c r="R241" i="7"/>
  <c r="T241" i="7"/>
  <c r="V241" i="7" s="1"/>
  <c r="W241" i="7" s="1"/>
  <c r="R165" i="7"/>
  <c r="T165" i="7"/>
  <c r="V165" i="7" s="1"/>
  <c r="W165" i="7" s="1"/>
  <c r="R214" i="7"/>
  <c r="T214" i="7"/>
  <c r="V214" i="7" s="1"/>
  <c r="W214" i="7" s="1"/>
  <c r="R153" i="7"/>
  <c r="T153" i="7"/>
  <c r="V153" i="7" s="1"/>
  <c r="W153" i="7" s="1"/>
  <c r="W36" i="8"/>
  <c r="R189" i="7"/>
  <c r="R51" i="7"/>
  <c r="T51" i="7"/>
  <c r="V51" i="7" s="1"/>
  <c r="W51" i="7" s="1"/>
  <c r="R72" i="7"/>
  <c r="T72" i="7"/>
  <c r="V72" i="7" s="1"/>
  <c r="W72" i="7" s="1"/>
  <c r="G15" i="8"/>
  <c r="G19" i="8" s="1"/>
  <c r="Q13" i="8" s="1"/>
  <c r="S36" i="8" s="1"/>
  <c r="G64" i="8"/>
  <c r="R34" i="7"/>
  <c r="R2" i="7"/>
  <c r="R80" i="7"/>
  <c r="R133" i="7"/>
  <c r="R228" i="7"/>
  <c r="R195" i="7"/>
  <c r="R171" i="7"/>
  <c r="I10" i="7"/>
  <c r="D15" i="2"/>
  <c r="Q10" i="7"/>
  <c r="T10" i="7" s="1"/>
  <c r="V10" i="7" s="1"/>
  <c r="P10" i="7"/>
  <c r="S10" i="7" s="1"/>
  <c r="S290" i="7" s="1"/>
  <c r="R201" i="7"/>
  <c r="R110" i="7"/>
  <c r="R101" i="7"/>
  <c r="R57" i="7"/>
  <c r="R63" i="7"/>
  <c r="R235" i="7"/>
  <c r="R159" i="7"/>
  <c r="R24" i="7"/>
  <c r="G81" i="8" l="1"/>
  <c r="T290" i="7"/>
  <c r="R290" i="7" s="1"/>
  <c r="W2" i="7"/>
  <c r="U10" i="7"/>
  <c r="Q16" i="8"/>
  <c r="U36" i="8" s="1"/>
  <c r="R10" i="7"/>
  <c r="F36" i="2"/>
  <c r="F38" i="2"/>
  <c r="F39" i="2"/>
  <c r="F42" i="2"/>
  <c r="F43" i="2"/>
  <c r="F45" i="2"/>
  <c r="W10" i="7" l="1"/>
  <c r="Q19" i="8"/>
  <c r="F52" i="2" l="1"/>
  <c r="R273" i="7" l="1"/>
  <c r="U273" i="7" l="1"/>
  <c r="V273" i="7"/>
  <c r="R274" i="7"/>
  <c r="R282" i="7"/>
  <c r="R279" i="7"/>
  <c r="R280" i="7"/>
  <c r="F29" i="2"/>
  <c r="F27" i="2"/>
  <c r="F25" i="2"/>
  <c r="F26" i="2"/>
  <c r="R278" i="7"/>
  <c r="R277" i="7"/>
  <c r="R272" i="7"/>
  <c r="F22" i="2"/>
  <c r="P14" i="8" s="1"/>
  <c r="F13" i="2"/>
  <c r="F15" i="2"/>
  <c r="F17" i="2"/>
  <c r="F56" i="2"/>
  <c r="F67" i="2"/>
  <c r="F80" i="2" s="1"/>
  <c r="F18" i="2"/>
  <c r="F57" i="2"/>
  <c r="F49" i="2"/>
  <c r="F51" i="2"/>
  <c r="F62" i="2"/>
  <c r="P15" i="8" l="1"/>
  <c r="R270" i="7"/>
  <c r="U270" i="7" s="1"/>
  <c r="W273" i="7"/>
  <c r="U279" i="7"/>
  <c r="V279" i="7"/>
  <c r="V282" i="7"/>
  <c r="U282" i="7"/>
  <c r="V280" i="7"/>
  <c r="U280" i="7"/>
  <c r="U278" i="7"/>
  <c r="V278" i="7"/>
  <c r="U277" i="7"/>
  <c r="V277" i="7"/>
  <c r="V274" i="7"/>
  <c r="U274" i="7"/>
  <c r="O36" i="8"/>
  <c r="F30" i="2"/>
  <c r="F19" i="2"/>
  <c r="R276" i="7"/>
  <c r="U276" i="7" s="1"/>
  <c r="V272" i="7"/>
  <c r="U272" i="7"/>
  <c r="F40" i="2"/>
  <c r="F44" i="2"/>
  <c r="F41" i="2"/>
  <c r="F37" i="2"/>
  <c r="R275" i="7"/>
  <c r="F61" i="2"/>
  <c r="F50" i="2"/>
  <c r="F35" i="2"/>
  <c r="V270" i="7" l="1"/>
  <c r="W270" i="7" s="1"/>
  <c r="P13" i="8"/>
  <c r="W277" i="7"/>
  <c r="W279" i="7"/>
  <c r="W282" i="7"/>
  <c r="R14" i="8"/>
  <c r="V276" i="7"/>
  <c r="W276" i="7" s="1"/>
  <c r="W278" i="7"/>
  <c r="W280" i="7"/>
  <c r="W274" i="7"/>
  <c r="V275" i="7"/>
  <c r="U275" i="7"/>
  <c r="U290" i="7" s="1"/>
  <c r="F64" i="2"/>
  <c r="P63" i="2" s="1"/>
  <c r="R36" i="8"/>
  <c r="W272" i="7"/>
  <c r="R15" i="8"/>
  <c r="P16" i="8" l="1"/>
  <c r="P36" i="8" s="1"/>
  <c r="B14" i="9"/>
  <c r="P79" i="2"/>
  <c r="R13" i="8"/>
  <c r="N36" i="8"/>
  <c r="P17" i="8"/>
  <c r="Q36" i="8" s="1"/>
  <c r="F81" i="2"/>
  <c r="W275" i="7"/>
  <c r="V290" i="7"/>
  <c r="W290" i="7" s="1"/>
  <c r="C9" i="4"/>
  <c r="R16" i="8" l="1"/>
  <c r="P19" i="8"/>
  <c r="R19" i="8" s="1"/>
  <c r="R17" i="8"/>
  <c r="V292" i="7"/>
  <c r="U292" i="7"/>
  <c r="L84" i="2" l="1"/>
  <c r="L83" i="2"/>
</calcChain>
</file>

<file path=xl/sharedStrings.xml><?xml version="1.0" encoding="utf-8"?>
<sst xmlns="http://schemas.openxmlformats.org/spreadsheetml/2006/main" count="756" uniqueCount="336">
  <si>
    <t>-</t>
  </si>
  <si>
    <t xml:space="preserve">Repair matrix Scara&amp; NT arm robots </t>
  </si>
  <si>
    <t>module_part</t>
  </si>
  <si>
    <t>id_no</t>
  </si>
  <si>
    <t>price</t>
  </si>
  <si>
    <t>need_amount</t>
  </si>
  <si>
    <t>price_sum</t>
  </si>
  <si>
    <t>Unit 12NC received:</t>
  </si>
  <si>
    <t>4022.666.94861</t>
    <phoneticPr fontId="8" type="noConversion"/>
  </si>
  <si>
    <t>upgrade to: --</t>
    <phoneticPr fontId="8" type="noConversion"/>
  </si>
  <si>
    <t>Unit serial number:</t>
  </si>
  <si>
    <t xml:space="preserve">First delivery: </t>
    <phoneticPr fontId="8" type="noConversion"/>
  </si>
  <si>
    <t xml:space="preserve">Arm #:  </t>
  </si>
  <si>
    <t>DM #:</t>
  </si>
  <si>
    <t xml:space="preserve">Z-stroke #:   </t>
  </si>
  <si>
    <t>Version 04.03.2020 K.Weber</t>
  </si>
  <si>
    <t>Age dependend parts</t>
  </si>
  <si>
    <t>Module part</t>
  </si>
  <si>
    <t>Price</t>
  </si>
  <si>
    <t>need</t>
  </si>
  <si>
    <t>sum</t>
  </si>
  <si>
    <t>Arm parts (after 3,5 years)</t>
  </si>
  <si>
    <t>Arm - average price</t>
  </si>
  <si>
    <t>Drive module (DM) parts (after 3,5 years)</t>
  </si>
  <si>
    <t>DM - Lika Motor upgrade (incl. Sealing)</t>
  </si>
  <si>
    <t>Z-stroke module parts (after 5 years)</t>
  </si>
  <si>
    <t>Z-stroke 35 - average price</t>
  </si>
  <si>
    <t>Z-stroke 50 - average price</t>
  </si>
  <si>
    <t>Last digit and red mark change dependend parts</t>
  </si>
  <si>
    <t>Upgrade part</t>
  </si>
  <si>
    <t>id-no.</t>
  </si>
  <si>
    <t>Cable upgrade (Lika 12NC)</t>
  </si>
  <si>
    <t>Gripper interface PCB Protection upgrade</t>
    <phoneticPr fontId="8" type="noConversion"/>
  </si>
  <si>
    <t>MK5 Arm-upgrade</t>
  </si>
  <si>
    <t>add. clamping ring (MK5)</t>
  </si>
  <si>
    <t>MK5 DM-upgrade (interface)</t>
  </si>
  <si>
    <t>MK5 Z-upgrade</t>
  </si>
  <si>
    <t>Visual check dependend parts</t>
  </si>
  <si>
    <t>Arm</t>
  </si>
  <si>
    <t>Upper arm housing (RWD upgrade)</t>
  </si>
  <si>
    <t xml:space="preserve">Upper arm housing </t>
    <phoneticPr fontId="8" type="noConversion"/>
  </si>
  <si>
    <t>Upper arm lid</t>
  </si>
  <si>
    <t>Lower arm  housing (RWD upgrade)</t>
  </si>
  <si>
    <t xml:space="preserve">Lower arm  housing </t>
    <phoneticPr fontId="8" type="noConversion"/>
  </si>
  <si>
    <t>lower arm lid</t>
  </si>
  <si>
    <t>Arm- drive interface (BR-Shoulder)</t>
  </si>
  <si>
    <t>Arm - gripper interface assy. Scara</t>
  </si>
  <si>
    <t>Arm - gripper interface assy. NT</t>
  </si>
  <si>
    <t>belt-reel upgrade</t>
  </si>
  <si>
    <t>Torx-screw upgrade</t>
  </si>
  <si>
    <t xml:space="preserve">bearings </t>
  </si>
  <si>
    <t>Arm to ASYS EU</t>
  </si>
  <si>
    <t>Drive module</t>
  </si>
  <si>
    <t>cable hood</t>
  </si>
  <si>
    <t>DM housing</t>
  </si>
  <si>
    <t>DM Lid</t>
  </si>
  <si>
    <t xml:space="preserve">slip-ring </t>
  </si>
  <si>
    <t>Hollow shaft</t>
  </si>
  <si>
    <t>DM to ASYS EU</t>
  </si>
  <si>
    <t>Z- module</t>
  </si>
  <si>
    <t>ZM housing Scara</t>
  </si>
  <si>
    <t>ZM housing NT</t>
  </si>
  <si>
    <t>guiding shafts Scara</t>
  </si>
  <si>
    <t>guiding shafts NT</t>
  </si>
  <si>
    <t xml:space="preserve">small guiding shaft </t>
  </si>
  <si>
    <t>Clamping flange</t>
  </si>
  <si>
    <t>Adapter cable</t>
  </si>
  <si>
    <t>Z-Stroke to ASYS EU</t>
  </si>
  <si>
    <t>Labour &amp; Packaging</t>
  </si>
  <si>
    <t>General part</t>
  </si>
  <si>
    <t>total qualification (Labour)</t>
  </si>
  <si>
    <t>add. Analyse (DOA / FAR)</t>
  </si>
  <si>
    <t>ACHTUNG TW PREIS! DE = 3496,52€</t>
  </si>
  <si>
    <t>Grey Box (new)</t>
  </si>
  <si>
    <t>Grey Box (repair)</t>
    <phoneticPr fontId="8" type="noConversion"/>
  </si>
  <si>
    <t>upgrade grey box from .4 -&gt; .5</t>
  </si>
  <si>
    <t>Packaging set</t>
  </si>
  <si>
    <t>ACHTUNG FORMEL</t>
  </si>
  <si>
    <t>proportion of freight charges (modules)</t>
  </si>
  <si>
    <t>delivery charges</t>
  </si>
  <si>
    <t>additional hours (Labour)</t>
  </si>
  <si>
    <t>gevinderinge lager arm</t>
    <phoneticPr fontId="8" type="noConversion"/>
  </si>
  <si>
    <t>additional material</t>
  </si>
  <si>
    <t>Achtung bei jedem NT (Auslieferungsprüfung)</t>
  </si>
  <si>
    <t>friction test (NT only  - delivery)</t>
  </si>
  <si>
    <t>free for extra costs</t>
  </si>
  <si>
    <t>Total Repair costs</t>
  </si>
  <si>
    <t>%</t>
  </si>
  <si>
    <t>Serial No.</t>
  </si>
  <si>
    <t>Value Arm</t>
  </si>
  <si>
    <t>DM</t>
  </si>
  <si>
    <t>Z</t>
  </si>
  <si>
    <t>Value  DM</t>
  </si>
  <si>
    <t>Value  Z</t>
  </si>
  <si>
    <t>Total :</t>
  </si>
  <si>
    <t>to DE</t>
    <phoneticPr fontId="24" type="noConversion"/>
  </si>
  <si>
    <t>from DE</t>
    <phoneticPr fontId="24" type="noConversion"/>
  </si>
  <si>
    <t>Δ</t>
    <phoneticPr fontId="24" type="noConversion"/>
  </si>
  <si>
    <t>ARM-SC</t>
    <phoneticPr fontId="24" type="noConversion"/>
  </si>
  <si>
    <t>ARM-NT</t>
    <phoneticPr fontId="24" type="noConversion"/>
  </si>
  <si>
    <t>ARM-NXT</t>
    <phoneticPr fontId="24" type="noConversion"/>
  </si>
  <si>
    <t>DM</t>
    <phoneticPr fontId="24" type="noConversion"/>
  </si>
  <si>
    <t>ZT</t>
    <phoneticPr fontId="24" type="noConversion"/>
  </si>
  <si>
    <t>RobotContribution</t>
    <phoneticPr fontId="24" type="noConversion"/>
  </si>
  <si>
    <t>4022.651.33331</t>
    <phoneticPr fontId="24" type="noConversion"/>
  </si>
  <si>
    <t>NT</t>
    <phoneticPr fontId="24" type="noConversion"/>
  </si>
  <si>
    <t>4022.666.94861</t>
    <phoneticPr fontId="24" type="noConversion"/>
  </si>
  <si>
    <t>4022.639.41573</t>
    <phoneticPr fontId="24" type="noConversion"/>
  </si>
  <si>
    <t>SC</t>
    <phoneticPr fontId="24" type="noConversion"/>
  </si>
  <si>
    <t>4022.651.64501</t>
    <phoneticPr fontId="24" type="noConversion"/>
  </si>
  <si>
    <t>4022.666.94871</t>
    <phoneticPr fontId="24" type="noConversion"/>
  </si>
  <si>
    <t>4022.677.22862</t>
    <phoneticPr fontId="24" type="noConversion"/>
  </si>
  <si>
    <t>NXT</t>
    <phoneticPr fontId="24" type="noConversion"/>
  </si>
  <si>
    <t>4022.677.22861</t>
    <phoneticPr fontId="24" type="noConversion"/>
  </si>
  <si>
    <t>Version:</t>
  </si>
  <si>
    <t>Date:</t>
  </si>
  <si>
    <t>Comment:</t>
  </si>
  <si>
    <t>Name:</t>
  </si>
  <si>
    <t>a</t>
  </si>
  <si>
    <t>Init</t>
  </si>
  <si>
    <t>Karsten Weber</t>
  </si>
  <si>
    <t>b</t>
  </si>
  <si>
    <t>Component Costs</t>
  </si>
  <si>
    <t>c</t>
  </si>
  <si>
    <t>2.500 to 3.500</t>
  </si>
  <si>
    <t>d</t>
  </si>
  <si>
    <t>Fix - Error in DM back to DE</t>
  </si>
  <si>
    <t>e</t>
  </si>
  <si>
    <t>Internal Document</t>
  </si>
  <si>
    <t>Petra Jackson</t>
  </si>
  <si>
    <t>f</t>
  </si>
  <si>
    <t>MK-5 added</t>
  </si>
  <si>
    <t>g</t>
  </si>
  <si>
    <t>Poka Yoke MK3</t>
  </si>
  <si>
    <t>h</t>
  </si>
  <si>
    <t>Comparison - Zeile / extra costs</t>
  </si>
  <si>
    <t>i</t>
  </si>
  <si>
    <t>J</t>
  </si>
  <si>
    <t>m</t>
  </si>
  <si>
    <t>Korrektur / Grey box repair</t>
  </si>
  <si>
    <t>n</t>
  </si>
  <si>
    <t>Einfügen Slip-Ring DM</t>
  </si>
  <si>
    <t>o</t>
  </si>
  <si>
    <t>Gewindestift Torx tauschen</t>
  </si>
  <si>
    <t>p</t>
  </si>
  <si>
    <t>Rebuy, neue Preise RWD, HD-motoren</t>
  </si>
  <si>
    <t>q</t>
  </si>
  <si>
    <t>Anpassung prozente Service/Ware</t>
  </si>
  <si>
    <t>r</t>
  </si>
  <si>
    <t>Lika-Motor Preis / Cable upgrade short</t>
  </si>
  <si>
    <t>s</t>
  </si>
  <si>
    <t>Lika+Kabelupgrade / Lika sealing</t>
  </si>
  <si>
    <t>t</t>
  </si>
  <si>
    <t>Stundensatz auf 90€; Materialzuschlag 1,4% + zzl. Felder  (Hohlwelle/Wellen)</t>
  </si>
  <si>
    <t>u</t>
  </si>
  <si>
    <t>Scara-Endeffector PCB / Gripper interface PCB Protection upgrade</t>
  </si>
  <si>
    <t>v</t>
  </si>
  <si>
    <t xml:space="preserve">Stop+store </t>
  </si>
  <si>
    <t>w</t>
  </si>
  <si>
    <t xml:space="preserve">small guiding shaft; remove stop/store +rebuy </t>
  </si>
  <si>
    <t>VK in Matrix
inkl. Zeit</t>
  </si>
  <si>
    <t>Delta</t>
  </si>
  <si>
    <t>Stundensatz</t>
  </si>
  <si>
    <t>Teil</t>
  </si>
  <si>
    <t>Material in %</t>
  </si>
  <si>
    <t>Service in %</t>
  </si>
  <si>
    <t>Material</t>
  </si>
  <si>
    <t>Service</t>
  </si>
  <si>
    <t>Kontrolle</t>
  </si>
  <si>
    <t>Bänder inkl. Seals</t>
  </si>
  <si>
    <t>Zeit</t>
  </si>
  <si>
    <t xml:space="preserve">Zuschlag </t>
  </si>
  <si>
    <t>EINKAUFSPREISE</t>
  </si>
  <si>
    <t>Zuschlag</t>
  </si>
  <si>
    <t>Bezeichnung</t>
  </si>
  <si>
    <t>Menge</t>
  </si>
  <si>
    <t>EK-Preis</t>
  </si>
  <si>
    <t>Gesamt EK</t>
  </si>
  <si>
    <t>A-609753</t>
  </si>
  <si>
    <t>Antriebsband Oberarm 2x0,1mm</t>
  </si>
  <si>
    <t>A-609752</t>
  </si>
  <si>
    <t>Antriebsband Unterarm 2x0,1mm</t>
  </si>
  <si>
    <t>Gesamt</t>
  </si>
  <si>
    <t>E-13736</t>
  </si>
  <si>
    <t>Bal-Seal 4-2  100MB(=X223523)</t>
  </si>
  <si>
    <t>Rohmaterial (4,1 m je Stück ~ 20m)</t>
  </si>
  <si>
    <t xml:space="preserve">DM - Lika Motor upgrade (incl. Sealing)
</t>
  </si>
  <si>
    <t>E-18076</t>
  </si>
  <si>
    <t>Bal-Seal Dichtung</t>
  </si>
  <si>
    <t>Hohlwellenmotor ged. Form</t>
  </si>
  <si>
    <t>E-10109</t>
  </si>
  <si>
    <t>Kugellager 61802, Niro</t>
  </si>
  <si>
    <t>Lagerplatte</t>
  </si>
  <si>
    <t>Yen Aufschlag</t>
  </si>
  <si>
    <t>Zusatzkosten Lika</t>
  </si>
  <si>
    <t>Ammortisation</t>
  </si>
  <si>
    <t>Sealing</t>
  </si>
  <si>
    <t>E-19572</t>
  </si>
  <si>
    <t>Steckerverbinder</t>
  </si>
  <si>
    <t>Motor/Spindel upgrade  - SCARA</t>
  </si>
  <si>
    <t>Führungswelle Durchm.</t>
  </si>
  <si>
    <t>Kugelgewindetrieb 12x2</t>
  </si>
  <si>
    <t>E-14030</t>
  </si>
  <si>
    <t>Motor RE 40mm, kpl.</t>
  </si>
  <si>
    <t>E-12664</t>
  </si>
  <si>
    <t>Schrägkugellager 7201B.TVP.UO</t>
  </si>
  <si>
    <t>E-10053</t>
  </si>
  <si>
    <t>Präzisionsnutmutter</t>
  </si>
  <si>
    <t>E-13798</t>
  </si>
  <si>
    <t>Kugelführung komplett-groß</t>
  </si>
  <si>
    <t>Motor/Spindel upgrade  - N T</t>
  </si>
  <si>
    <t>Kugelgewindetrieb 12x2, 158mm</t>
  </si>
  <si>
    <t>Kabelhalter</t>
  </si>
  <si>
    <t>Adapterkabel Z-Trieb USA crimp</t>
  </si>
  <si>
    <t>Kabelhaube, vst.</t>
  </si>
  <si>
    <t>MK5 Arm-upgrade Scara / NT</t>
  </si>
  <si>
    <t>A-610301</t>
  </si>
  <si>
    <t>Scara Arm MK5-35</t>
  </si>
  <si>
    <t>Klemmflansch unten</t>
  </si>
  <si>
    <t>Einlegeblech</t>
  </si>
  <si>
    <t>Kurbelflansch</t>
  </si>
  <si>
    <t>Deckel für DM</t>
  </si>
  <si>
    <t>MK-5 cable upgarde</t>
  </si>
  <si>
    <t>790 € = 545 + 245 !</t>
  </si>
  <si>
    <t>Interfaceplate</t>
  </si>
  <si>
    <t>Buchse</t>
  </si>
  <si>
    <t>Abdeckung oben</t>
  </si>
  <si>
    <t>E-21006</t>
  </si>
  <si>
    <t>Toleranzring 17x6</t>
  </si>
  <si>
    <t>Oberarmgehäuse Scara 200</t>
  </si>
  <si>
    <t>Abdeckstreifen Oberarm</t>
  </si>
  <si>
    <t>Druckluftkanal Oberarm</t>
  </si>
  <si>
    <t>Flansch EB</t>
  </si>
  <si>
    <t>E-11574</t>
  </si>
  <si>
    <t>Kugellager 61701- HZZP6</t>
  </si>
  <si>
    <t>A-612238</t>
  </si>
  <si>
    <t>Mediendurchführung EB vst.</t>
  </si>
  <si>
    <t>E-20953</t>
  </si>
  <si>
    <t>A 6x12x5,5 NBR</t>
  </si>
  <si>
    <t>Upper arm housing (housing part only/already RWD)</t>
  </si>
  <si>
    <t>Lagerflansch 200 ASML</t>
  </si>
  <si>
    <t>Einpressbuchse Polygon</t>
  </si>
  <si>
    <t>Bemerkung:</t>
  </si>
  <si>
    <t>Abdeckstreifen innen</t>
  </si>
  <si>
    <t>eigentl. Falscher Preis, es kommen noch ca. 40€ Rohmaterial dazu</t>
  </si>
  <si>
    <t>Gewindestift Torx 25</t>
  </si>
  <si>
    <t>Gewindestift als</t>
  </si>
  <si>
    <t>E-10002</t>
  </si>
  <si>
    <t>Lemosa-Stift FGG.2B.312.ZLA</t>
  </si>
  <si>
    <t>Unterarmgehäuse Scara 200</t>
  </si>
  <si>
    <t>Stift (Nacharbeit)</t>
  </si>
  <si>
    <t>Abdeckstreifen Unterarm</t>
  </si>
  <si>
    <t>Druckluftkanal Unterarm</t>
  </si>
  <si>
    <t>Flansch HG</t>
  </si>
  <si>
    <t>A-610866</t>
  </si>
  <si>
    <t>Mediendurchführung geschliffen</t>
  </si>
  <si>
    <t>Ring</t>
  </si>
  <si>
    <t>Radial-Wellendichtring</t>
  </si>
  <si>
    <t>Lower arm  housing (housing part only/already RWD)</t>
  </si>
  <si>
    <t>Unterarmabdeckung Scara 200</t>
  </si>
  <si>
    <t>Abdeckstreifen</t>
  </si>
  <si>
    <t>E-11069</t>
  </si>
  <si>
    <t>Magnet, NeoDelta NE415</t>
  </si>
  <si>
    <t>E-14188</t>
  </si>
  <si>
    <t>Tangless free running</t>
  </si>
  <si>
    <t>A-609743</t>
  </si>
  <si>
    <t>Bandrolle Schulter 2x0,1 vst.</t>
  </si>
  <si>
    <t>Endeffektorhalter</t>
  </si>
  <si>
    <t>A-609744</t>
  </si>
  <si>
    <t>Bandrolle Ellenbogen vst.</t>
  </si>
  <si>
    <t>A-609213</t>
  </si>
  <si>
    <t>Kabelhaube</t>
  </si>
  <si>
    <t>Hubrohr DM</t>
  </si>
  <si>
    <t>DM lid</t>
  </si>
  <si>
    <t>Gewindebolzen</t>
  </si>
  <si>
    <t>Platte</t>
  </si>
  <si>
    <t>E-22302</t>
  </si>
  <si>
    <t>Schleifring - Slip</t>
  </si>
  <si>
    <t>Z-Trieb Gehäuse</t>
  </si>
  <si>
    <t xml:space="preserve">Clamping flange </t>
  </si>
  <si>
    <t>Klemmflansch</t>
  </si>
  <si>
    <t>Anschlagscheibe</t>
  </si>
  <si>
    <t>Schaltstange</t>
  </si>
  <si>
    <t>E-21004</t>
  </si>
  <si>
    <t>Gewindestift flach</t>
  </si>
  <si>
    <t>Schaltring</t>
  </si>
  <si>
    <t>A-609212</t>
  </si>
  <si>
    <t>Adapterkabel</t>
  </si>
  <si>
    <t>bearings arm</t>
  </si>
  <si>
    <t>E-18688</t>
  </si>
  <si>
    <t>Kreuzrollenlager</t>
  </si>
  <si>
    <t>E-18687</t>
  </si>
  <si>
    <t>Kugelführungswelle zyl.</t>
  </si>
  <si>
    <t>Getriebeflansch</t>
  </si>
  <si>
    <t>Hohlwelle lang</t>
  </si>
  <si>
    <t>E-10102</t>
  </si>
  <si>
    <t>Lemosa-Buchse EGG.2B.312.ZLL</t>
  </si>
  <si>
    <t>small guiding shaft (VA-Welle)</t>
  </si>
  <si>
    <t>Gripper interface PCB Protection upgrade</t>
  </si>
  <si>
    <t>Gripper interface PCB 
Protection upgrade</t>
  </si>
  <si>
    <t>Protection plate</t>
  </si>
  <si>
    <t>Spacer</t>
  </si>
  <si>
    <t>E-23858</t>
  </si>
  <si>
    <t>head screw Din ISO 7380</t>
  </si>
  <si>
    <t>E-23862</t>
  </si>
  <si>
    <t>Kapton tape 15mm</t>
  </si>
  <si>
    <t>A-612218</t>
  </si>
  <si>
    <t>Platine</t>
  </si>
  <si>
    <t>€</t>
  </si>
  <si>
    <t>transport der Teile nach TW</t>
  </si>
  <si>
    <t>add. Analyse (DOA)</t>
  </si>
  <si>
    <t>Grey Box (repair)</t>
  </si>
  <si>
    <t>upgrade grey box 4-&gt;5</t>
  </si>
  <si>
    <t>Flug :</t>
  </si>
  <si>
    <t>je Flug pro 3 Module</t>
  </si>
  <si>
    <t>Polen ( hin + Rück)</t>
  </si>
  <si>
    <t>extra costs</t>
  </si>
  <si>
    <t>Total je 3 Module</t>
  </si>
  <si>
    <t>je Modul</t>
  </si>
  <si>
    <t xml:space="preserve">Unit 12NC received: </t>
  </si>
  <si>
    <t xml:space="preserve">Unit serial number: </t>
  </si>
  <si>
    <t>need 
in TW</t>
  </si>
  <si>
    <t>need 
in DE</t>
  </si>
  <si>
    <t>Kosten lt. TW-Analyse</t>
  </si>
  <si>
    <t>Kosten lt. DT-Analyse</t>
  </si>
  <si>
    <t>Altersbedingte</t>
  </si>
  <si>
    <t>Upgrades</t>
  </si>
  <si>
    <t>MK5 Upgrades</t>
  </si>
  <si>
    <t>Zustandsbedingte</t>
  </si>
  <si>
    <t>sonstige</t>
  </si>
  <si>
    <t>GESAMT</t>
  </si>
  <si>
    <t xml:space="preserve">Upper arm housing </t>
  </si>
  <si>
    <t xml:space="preserve">Lower arm  housing </t>
  </si>
  <si>
    <t>Guiding shafts NT</t>
  </si>
  <si>
    <t>add. Analyse (DAO)</t>
  </si>
  <si>
    <t xml:space="preserve">Repair: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</si>
</sst>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&quot;€&quot;\ * #,##0.00_-;_-&quot;€&quot;\ * #,##0.00\-;_-&quot;€&quot;\ * &quot;-&quot;??_-;_-@_-"/>
    <numFmt numFmtId="167" formatCode="0.0"/>
    <numFmt numFmtId="168" formatCode="_-* #,##0.00\ [$€-407]_-;\-* #,##0.00\ [$€-407]_-;_-* &quot;-&quot;??\ [$€-407]_-;_-@_-"/>
    <numFmt numFmtId="169" formatCode="0.00_ "/>
    <numFmt numFmtId="170" formatCode="0.000_);[Red]\(0.000\)"/>
    <numFmt numFmtId="171" formatCode="0.00_);[Red]\(0.00\)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color indexed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細明體"/>
      <family val="3"/>
      <charset val="136"/>
    </font>
    <font>
      <sz val="8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medium">
        <color rgb="FF000000"/>
      </top>
      <bottom/>
      <diagonal/>
    </border>
  </borders>
  <cellStyleXfs count="53">
    <xf numFmtId="0" fontId="0" fillId="0" borderId="0"/>
    <xf numFmtId="9" fontId="7" fillId="0" borderId="0" applyFont="0" applyFill="0" applyBorder="0" applyAlignment="0" applyProtection="0"/>
    <xf numFmtId="0" fontId="10" fillId="0" borderId="0"/>
    <xf numFmtId="0" fontId="16" fillId="0" borderId="0"/>
    <xf numFmtId="166" fontId="7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5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7" fillId="0" borderId="0"/>
    <xf numFmtId="0" fontId="6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19" fillId="0" borderId="0"/>
    <xf numFmtId="9" fontId="7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91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/>
    <xf numFmtId="0" fontId="9" fillId="0" borderId="0" xfId="0" applyFont="1" applyAlignment="1">
      <alignment vertical="top"/>
    </xf>
    <xf numFmtId="166" fontId="0" fillId="0" borderId="0" xfId="4" applyFont="1"/>
    <xf numFmtId="166" fontId="9" fillId="0" borderId="0" xfId="4" applyFont="1" applyAlignment="1">
      <alignment vertical="top"/>
    </xf>
    <xf numFmtId="166" fontId="9" fillId="0" borderId="0" xfId="4" applyFont="1"/>
    <xf numFmtId="2" fontId="9" fillId="0" borderId="0" xfId="0" applyNumberFormat="1" applyFont="1"/>
    <xf numFmtId="9" fontId="9" fillId="0" borderId="0" xfId="1" applyFont="1"/>
    <xf numFmtId="164" fontId="9" fillId="0" borderId="0" xfId="0" applyNumberFormat="1" applyFont="1"/>
    <xf numFmtId="9" fontId="0" fillId="0" borderId="0" xfId="1" applyFont="1"/>
    <xf numFmtId="0" fontId="0" fillId="6" borderId="0" xfId="0" applyFill="1"/>
    <xf numFmtId="2" fontId="0" fillId="6" borderId="0" xfId="0" applyNumberFormat="1" applyFill="1"/>
    <xf numFmtId="0" fontId="0" fillId="0" borderId="0" xfId="0" quotePrefix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0" fillId="0" borderId="0" xfId="5" applyFont="1"/>
    <xf numFmtId="166" fontId="9" fillId="0" borderId="26" xfId="4" applyFont="1" applyBorder="1"/>
    <xf numFmtId="0" fontId="9" fillId="0" borderId="27" xfId="2" applyFont="1" applyBorder="1" applyAlignment="1">
      <alignment horizontal="center" vertical="top"/>
    </xf>
    <xf numFmtId="0" fontId="14" fillId="0" borderId="28" xfId="2" applyFont="1" applyBorder="1" applyAlignment="1">
      <alignment wrapText="1"/>
    </xf>
    <xf numFmtId="167" fontId="10" fillId="7" borderId="29" xfId="2" applyNumberFormat="1" applyFill="1" applyBorder="1"/>
    <xf numFmtId="166" fontId="9" fillId="0" borderId="30" xfId="4" applyFont="1" applyBorder="1"/>
    <xf numFmtId="0" fontId="10" fillId="8" borderId="29" xfId="2" applyFill="1" applyBorder="1"/>
    <xf numFmtId="0" fontId="10" fillId="9" borderId="29" xfId="2" applyFill="1" applyBorder="1"/>
    <xf numFmtId="0" fontId="10" fillId="6" borderId="29" xfId="2" applyFill="1" applyBorder="1"/>
    <xf numFmtId="0" fontId="9" fillId="0" borderId="29" xfId="2" applyFont="1" applyBorder="1" applyAlignment="1">
      <alignment horizontal="center"/>
    </xf>
    <xf numFmtId="167" fontId="9" fillId="0" borderId="31" xfId="2" applyNumberFormat="1" applyFont="1" applyBorder="1"/>
    <xf numFmtId="166" fontId="9" fillId="0" borderId="32" xfId="4" applyFont="1" applyBorder="1"/>
    <xf numFmtId="166" fontId="9" fillId="0" borderId="33" xfId="4" applyFont="1" applyBorder="1"/>
    <xf numFmtId="0" fontId="9" fillId="0" borderId="34" xfId="2" applyFont="1" applyBorder="1" applyAlignment="1">
      <alignment vertical="top"/>
    </xf>
    <xf numFmtId="166" fontId="9" fillId="0" borderId="35" xfId="2" applyNumberFormat="1" applyFont="1" applyBorder="1"/>
    <xf numFmtId="0" fontId="9" fillId="0" borderId="35" xfId="2" applyFont="1" applyBorder="1"/>
    <xf numFmtId="166" fontId="9" fillId="0" borderId="36" xfId="2" applyNumberFormat="1" applyFont="1" applyBorder="1"/>
    <xf numFmtId="0" fontId="9" fillId="10" borderId="11" xfId="2" applyFont="1" applyFill="1" applyBorder="1"/>
    <xf numFmtId="0" fontId="0" fillId="0" borderId="0" xfId="0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3" xfId="0" applyBorder="1" applyAlignment="1" applyProtection="1">
      <alignment horizontal="center"/>
      <protection locked="0"/>
    </xf>
    <xf numFmtId="0" fontId="12" fillId="0" borderId="5" xfId="0" applyFon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2" fontId="0" fillId="0" borderId="6" xfId="0" applyNumberFormat="1" applyBorder="1" applyAlignment="1" applyProtection="1">
      <alignment horizontal="center"/>
      <protection locked="0"/>
    </xf>
    <xf numFmtId="0" fontId="9" fillId="0" borderId="7" xfId="0" applyFont="1" applyBorder="1" applyAlignment="1" applyProtection="1">
      <alignment vertical="top"/>
      <protection locked="0"/>
    </xf>
    <xf numFmtId="0" fontId="9" fillId="0" borderId="8" xfId="0" applyFont="1" applyBorder="1" applyAlignment="1" applyProtection="1">
      <alignment vertical="top"/>
      <protection locked="0"/>
    </xf>
    <xf numFmtId="0" fontId="9" fillId="0" borderId="12" xfId="0" applyFont="1" applyBorder="1" applyAlignment="1" applyProtection="1">
      <alignment horizontal="center" vertical="top"/>
      <protection locked="0"/>
    </xf>
    <xf numFmtId="2" fontId="9" fillId="0" borderId="9" xfId="0" applyNumberFormat="1" applyFont="1" applyBorder="1" applyAlignment="1" applyProtection="1">
      <alignment horizontal="center" vertical="top"/>
      <protection locked="0"/>
    </xf>
    <xf numFmtId="0" fontId="9" fillId="0" borderId="0" xfId="0" applyFont="1" applyAlignment="1" applyProtection="1">
      <alignment vertical="top"/>
      <protection locked="0"/>
    </xf>
    <xf numFmtId="0" fontId="9" fillId="4" borderId="11" xfId="0" applyFont="1" applyFill="1" applyBorder="1" applyProtection="1">
      <protection locked="0"/>
    </xf>
    <xf numFmtId="0" fontId="9" fillId="4" borderId="1" xfId="0" applyFont="1" applyFill="1" applyBorder="1" applyProtection="1">
      <protection locked="0"/>
    </xf>
    <xf numFmtId="2" fontId="9" fillId="4" borderId="1" xfId="0" applyNumberFormat="1" applyFont="1" applyFill="1" applyBorder="1" applyProtection="1">
      <protection locked="0"/>
    </xf>
    <xf numFmtId="0" fontId="9" fillId="4" borderId="37" xfId="0" applyFont="1" applyFill="1" applyBorder="1" applyAlignment="1" applyProtection="1">
      <alignment horizontal="center"/>
      <protection locked="0"/>
    </xf>
    <xf numFmtId="2" fontId="9" fillId="4" borderId="10" xfId="0" applyNumberFormat="1" applyFont="1" applyFill="1" applyBorder="1" applyAlignment="1" applyProtection="1">
      <alignment horizontal="center"/>
      <protection locked="0"/>
    </xf>
    <xf numFmtId="0" fontId="0" fillId="5" borderId="1" xfId="0" applyFill="1" applyBorder="1" applyProtection="1">
      <protection locked="0"/>
    </xf>
    <xf numFmtId="0" fontId="0" fillId="5" borderId="38" xfId="0" applyFill="1" applyBorder="1" applyAlignment="1" applyProtection="1">
      <alignment horizontal="center"/>
      <protection locked="0"/>
    </xf>
    <xf numFmtId="2" fontId="0" fillId="5" borderId="10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Protection="1">
      <protection locked="0"/>
    </xf>
    <xf numFmtId="2" fontId="0" fillId="4" borderId="1" xfId="0" applyNumberFormat="1" applyFill="1" applyBorder="1" applyProtection="1">
      <protection locked="0"/>
    </xf>
    <xf numFmtId="0" fontId="0" fillId="4" borderId="38" xfId="0" applyFill="1" applyBorder="1" applyAlignment="1" applyProtection="1">
      <alignment horizontal="center"/>
      <protection locked="0"/>
    </xf>
    <xf numFmtId="2" fontId="0" fillId="4" borderId="10" xfId="0" applyNumberFormat="1" applyFill="1" applyBorder="1" applyAlignment="1" applyProtection="1">
      <alignment horizontal="center"/>
      <protection locked="0"/>
    </xf>
    <xf numFmtId="0" fontId="0" fillId="5" borderId="11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12" xfId="0" applyFill="1" applyBorder="1" applyProtection="1">
      <protection locked="0"/>
    </xf>
    <xf numFmtId="2" fontId="0" fillId="2" borderId="12" xfId="0" applyNumberFormat="1" applyFill="1" applyBorder="1" applyProtection="1">
      <protection locked="0"/>
    </xf>
    <xf numFmtId="0" fontId="0" fillId="2" borderId="39" xfId="0" applyFill="1" applyBorder="1" applyAlignment="1" applyProtection="1">
      <alignment horizontal="center"/>
      <protection locked="0"/>
    </xf>
    <xf numFmtId="2" fontId="0" fillId="2" borderId="10" xfId="0" applyNumberFormat="1" applyFill="1" applyBorder="1" applyAlignment="1" applyProtection="1">
      <alignment horizontal="center"/>
      <protection locked="0"/>
    </xf>
    <xf numFmtId="2" fontId="0" fillId="0" borderId="4" xfId="0" applyNumberFormat="1" applyBorder="1" applyProtection="1">
      <protection locked="0"/>
    </xf>
    <xf numFmtId="0" fontId="9" fillId="0" borderId="7" xfId="0" applyFont="1" applyBorder="1" applyProtection="1">
      <protection locked="0"/>
    </xf>
    <xf numFmtId="0" fontId="9" fillId="0" borderId="8" xfId="0" applyFont="1" applyBorder="1" applyProtection="1">
      <protection locked="0"/>
    </xf>
    <xf numFmtId="2" fontId="9" fillId="0" borderId="8" xfId="0" applyNumberFormat="1" applyFont="1" applyBorder="1" applyProtection="1">
      <protection locked="0"/>
    </xf>
    <xf numFmtId="0" fontId="9" fillId="0" borderId="12" xfId="0" applyFont="1" applyBorder="1" applyAlignment="1" applyProtection="1">
      <alignment horizontal="center"/>
      <protection locked="0"/>
    </xf>
    <xf numFmtId="2" fontId="9" fillId="0" borderId="9" xfId="0" applyNumberFormat="1" applyFon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2" fontId="9" fillId="0" borderId="0" xfId="0" applyNumberFormat="1" applyFont="1" applyProtection="1">
      <protection locked="0"/>
    </xf>
    <xf numFmtId="0" fontId="0" fillId="0" borderId="38" xfId="0" applyBorder="1" applyAlignment="1" applyProtection="1">
      <alignment horizontal="center"/>
      <protection locked="0"/>
    </xf>
    <xf numFmtId="0" fontId="17" fillId="0" borderId="0" xfId="0" applyFont="1" applyProtection="1">
      <protection locked="0"/>
    </xf>
    <xf numFmtId="0" fontId="0" fillId="2" borderId="12" xfId="0" applyFill="1" applyBorder="1" applyAlignment="1" applyProtection="1">
      <alignment horizontal="center"/>
      <protection locked="0"/>
    </xf>
    <xf numFmtId="2" fontId="0" fillId="2" borderId="9" xfId="0" applyNumberFormat="1" applyFill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2" fontId="0" fillId="0" borderId="10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17" fillId="0" borderId="0" xfId="0" applyFont="1" applyAlignment="1" applyProtection="1">
      <alignment horizontal="left"/>
      <protection locked="0"/>
    </xf>
    <xf numFmtId="0" fontId="0" fillId="0" borderId="37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66" fontId="0" fillId="0" borderId="0" xfId="5" applyFont="1" applyProtection="1">
      <protection locked="0"/>
    </xf>
    <xf numFmtId="0" fontId="0" fillId="2" borderId="13" xfId="0" applyFill="1" applyBorder="1" applyProtection="1">
      <protection locked="0"/>
    </xf>
    <xf numFmtId="0" fontId="0" fillId="2" borderId="14" xfId="0" applyFill="1" applyBorder="1" applyProtection="1">
      <protection locked="0"/>
    </xf>
    <xf numFmtId="0" fontId="0" fillId="2" borderId="40" xfId="0" applyFill="1" applyBorder="1" applyAlignment="1" applyProtection="1">
      <alignment horizontal="center"/>
      <protection locked="0"/>
    </xf>
    <xf numFmtId="2" fontId="0" fillId="0" borderId="0" xfId="0" applyNumberFormat="1" applyProtection="1">
      <protection locked="0"/>
    </xf>
    <xf numFmtId="0" fontId="11" fillId="0" borderId="15" xfId="0" applyFont="1" applyBorder="1" applyProtection="1">
      <protection locked="0"/>
    </xf>
    <xf numFmtId="0" fontId="0" fillId="0" borderId="16" xfId="0" applyBorder="1" applyProtection="1">
      <protection locked="0"/>
    </xf>
    <xf numFmtId="0" fontId="0" fillId="0" borderId="16" xfId="0" applyBorder="1" applyAlignment="1" applyProtection="1">
      <alignment horizontal="center"/>
      <protection locked="0"/>
    </xf>
    <xf numFmtId="2" fontId="0" fillId="3" borderId="17" xfId="0" applyNumberFormat="1" applyFill="1" applyBorder="1" applyAlignment="1" applyProtection="1">
      <alignment horizont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166" fontId="0" fillId="0" borderId="0" xfId="4" applyFont="1" applyProtection="1">
      <protection locked="0"/>
    </xf>
    <xf numFmtId="166" fontId="9" fillId="0" borderId="0" xfId="4" applyFont="1" applyProtection="1">
      <protection locked="0"/>
    </xf>
    <xf numFmtId="0" fontId="18" fillId="11" borderId="11" xfId="0" applyFont="1" applyFill="1" applyBorder="1" applyProtection="1">
      <protection locked="0"/>
    </xf>
    <xf numFmtId="0" fontId="0" fillId="0" borderId="19" xfId="0" applyBorder="1" applyAlignment="1" applyProtection="1">
      <alignment horizontal="center"/>
      <protection locked="0"/>
    </xf>
    <xf numFmtId="0" fontId="7" fillId="0" borderId="11" xfId="0" applyFont="1" applyBorder="1" applyProtection="1">
      <protection locked="0"/>
    </xf>
    <xf numFmtId="0" fontId="7" fillId="0" borderId="0" xfId="0" applyFont="1" applyAlignment="1">
      <alignment horizontal="center"/>
    </xf>
    <xf numFmtId="0" fontId="9" fillId="0" borderId="0" xfId="0" applyFon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14" fontId="0" fillId="0" borderId="0" xfId="0" applyNumberFormat="1" applyProtection="1">
      <protection locked="0"/>
    </xf>
    <xf numFmtId="0" fontId="7" fillId="0" borderId="0" xfId="0" applyFont="1" applyProtection="1">
      <protection locked="0"/>
    </xf>
    <xf numFmtId="49" fontId="7" fillId="0" borderId="2" xfId="8" quotePrefix="1" applyNumberFormat="1" applyBorder="1" applyProtection="1">
      <protection locked="0"/>
    </xf>
    <xf numFmtId="14" fontId="0" fillId="0" borderId="0" xfId="0" applyNumberFormat="1"/>
    <xf numFmtId="166" fontId="0" fillId="0" borderId="0" xfId="10" applyFont="1" applyProtection="1">
      <protection locked="0"/>
    </xf>
    <xf numFmtId="166" fontId="0" fillId="0" borderId="0" xfId="10" applyFont="1"/>
    <xf numFmtId="0" fontId="7" fillId="0" borderId="0" xfId="8"/>
    <xf numFmtId="0" fontId="7" fillId="0" borderId="0" xfId="8" applyAlignment="1">
      <alignment horizontal="center"/>
    </xf>
    <xf numFmtId="0" fontId="7" fillId="0" borderId="0" xfId="8" applyProtection="1">
      <protection locked="0"/>
    </xf>
    <xf numFmtId="166" fontId="7" fillId="0" borderId="0" xfId="10" applyFont="1" applyProtection="1">
      <protection locked="0"/>
    </xf>
    <xf numFmtId="0" fontId="7" fillId="5" borderId="43" xfId="0" applyFont="1" applyFill="1" applyBorder="1" applyProtection="1">
      <protection locked="0"/>
    </xf>
    <xf numFmtId="0" fontId="0" fillId="6" borderId="4" xfId="0" applyFill="1" applyBorder="1"/>
    <xf numFmtId="166" fontId="0" fillId="6" borderId="4" xfId="10" applyFont="1" applyFill="1" applyBorder="1"/>
    <xf numFmtId="0" fontId="0" fillId="6" borderId="6" xfId="0" applyFill="1" applyBorder="1"/>
    <xf numFmtId="167" fontId="7" fillId="6" borderId="12" xfId="8" applyNumberFormat="1" applyFill="1" applyBorder="1" applyAlignment="1">
      <alignment horizontal="center"/>
    </xf>
    <xf numFmtId="0" fontId="7" fillId="6" borderId="12" xfId="8" applyFill="1" applyBorder="1"/>
    <xf numFmtId="0" fontId="0" fillId="6" borderId="39" xfId="0" applyFill="1" applyBorder="1"/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left"/>
    </xf>
    <xf numFmtId="0" fontId="7" fillId="12" borderId="11" xfId="0" applyFont="1" applyFill="1" applyBorder="1" applyProtection="1">
      <protection locked="0"/>
    </xf>
    <xf numFmtId="0" fontId="11" fillId="0" borderId="0" xfId="8" applyFont="1" applyProtection="1">
      <protection locked="0"/>
    </xf>
    <xf numFmtId="0" fontId="7" fillId="0" borderId="0" xfId="8" applyAlignment="1" applyProtection="1">
      <alignment horizontal="center"/>
      <protection locked="0"/>
    </xf>
    <xf numFmtId="2" fontId="7" fillId="0" borderId="0" xfId="8" applyNumberFormat="1" applyAlignment="1" applyProtection="1">
      <alignment horizontal="center"/>
      <protection locked="0"/>
    </xf>
    <xf numFmtId="0" fontId="11" fillId="0" borderId="4" xfId="0" applyFont="1" applyBorder="1" applyProtection="1">
      <protection locked="0"/>
    </xf>
    <xf numFmtId="2" fontId="0" fillId="0" borderId="4" xfId="0" applyNumberFormat="1" applyBorder="1" applyAlignment="1" applyProtection="1">
      <alignment horizontal="center"/>
      <protection locked="0"/>
    </xf>
    <xf numFmtId="2" fontId="7" fillId="5" borderId="1" xfId="8" applyNumberFormat="1" applyFill="1" applyBorder="1" applyProtection="1">
      <protection locked="0"/>
    </xf>
    <xf numFmtId="2" fontId="7" fillId="0" borderId="1" xfId="8" applyNumberFormat="1" applyBorder="1" applyProtection="1">
      <protection locked="0"/>
    </xf>
    <xf numFmtId="0" fontId="3" fillId="0" borderId="0" xfId="39"/>
    <xf numFmtId="0" fontId="3" fillId="0" borderId="0" xfId="39" applyAlignment="1">
      <alignment horizontal="center"/>
    </xf>
    <xf numFmtId="0" fontId="3" fillId="0" borderId="0" xfId="39" applyAlignment="1">
      <alignment horizontal="left"/>
    </xf>
    <xf numFmtId="0" fontId="3" fillId="7" borderId="0" xfId="39" applyFill="1" applyAlignment="1">
      <alignment wrapText="1"/>
    </xf>
    <xf numFmtId="0" fontId="3" fillId="0" borderId="0" xfId="39" applyAlignment="1">
      <alignment horizontal="right"/>
    </xf>
    <xf numFmtId="0" fontId="21" fillId="0" borderId="0" xfId="39" applyFont="1"/>
    <xf numFmtId="168" fontId="3" fillId="0" borderId="0" xfId="39" applyNumberFormat="1"/>
    <xf numFmtId="0" fontId="3" fillId="0" borderId="19" xfId="39" applyBorder="1"/>
    <xf numFmtId="0" fontId="3" fillId="0" borderId="20" xfId="39" applyBorder="1" applyAlignment="1">
      <alignment horizontal="left"/>
    </xf>
    <xf numFmtId="0" fontId="3" fillId="0" borderId="24" xfId="39" applyBorder="1"/>
    <xf numFmtId="0" fontId="3" fillId="0" borderId="24" xfId="39" applyBorder="1" applyAlignment="1">
      <alignment horizontal="center"/>
    </xf>
    <xf numFmtId="168" fontId="3" fillId="0" borderId="24" xfId="39" applyNumberFormat="1" applyBorder="1"/>
    <xf numFmtId="168" fontId="3" fillId="0" borderId="0" xfId="39" applyNumberFormat="1" applyAlignment="1">
      <alignment horizontal="center"/>
    </xf>
    <xf numFmtId="168" fontId="0" fillId="0" borderId="0" xfId="40" applyNumberFormat="1" applyFont="1"/>
    <xf numFmtId="0" fontId="3" fillId="0" borderId="18" xfId="39" applyBorder="1"/>
    <xf numFmtId="0" fontId="3" fillId="0" borderId="21" xfId="39" applyBorder="1"/>
    <xf numFmtId="0" fontId="3" fillId="0" borderId="21" xfId="39" applyBorder="1" applyAlignment="1">
      <alignment horizontal="center"/>
    </xf>
    <xf numFmtId="0" fontId="3" fillId="0" borderId="22" xfId="39" applyBorder="1"/>
    <xf numFmtId="168" fontId="3" fillId="0" borderId="23" xfId="39" applyNumberFormat="1" applyBorder="1"/>
    <xf numFmtId="0" fontId="3" fillId="0" borderId="19" xfId="39" applyBorder="1" applyAlignment="1">
      <alignment horizontal="left"/>
    </xf>
    <xf numFmtId="164" fontId="0" fillId="0" borderId="0" xfId="40" applyFont="1" applyBorder="1"/>
    <xf numFmtId="164" fontId="0" fillId="0" borderId="0" xfId="40" applyFont="1" applyBorder="1" applyAlignment="1">
      <alignment horizontal="center"/>
    </xf>
    <xf numFmtId="0" fontId="22" fillId="0" borderId="0" xfId="39" applyFont="1"/>
    <xf numFmtId="0" fontId="22" fillId="0" borderId="0" xfId="39" applyFont="1" applyAlignment="1">
      <alignment horizontal="center"/>
    </xf>
    <xf numFmtId="168" fontId="22" fillId="0" borderId="0" xfId="39" applyNumberFormat="1" applyFont="1"/>
    <xf numFmtId="0" fontId="3" fillId="0" borderId="20" xfId="39" applyBorder="1"/>
    <xf numFmtId="164" fontId="0" fillId="0" borderId="24" xfId="40" applyFont="1" applyBorder="1"/>
    <xf numFmtId="168" fontId="3" fillId="0" borderId="25" xfId="39" applyNumberFormat="1" applyBorder="1"/>
    <xf numFmtId="164" fontId="0" fillId="0" borderId="0" xfId="40" applyFont="1" applyFill="1" applyBorder="1"/>
    <xf numFmtId="0" fontId="3" fillId="0" borderId="24" xfId="39" applyBorder="1" applyAlignment="1">
      <alignment horizontal="left"/>
    </xf>
    <xf numFmtId="164" fontId="0" fillId="0" borderId="0" xfId="40" applyFont="1"/>
    <xf numFmtId="0" fontId="21" fillId="6" borderId="0" xfId="39" applyFont="1" applyFill="1"/>
    <xf numFmtId="0" fontId="3" fillId="6" borderId="0" xfId="39" applyFill="1"/>
    <xf numFmtId="0" fontId="3" fillId="6" borderId="0" xfId="39" applyFill="1" applyAlignment="1">
      <alignment horizontal="left"/>
    </xf>
    <xf numFmtId="0" fontId="3" fillId="6" borderId="24" xfId="39" applyFill="1" applyBorder="1" applyAlignment="1">
      <alignment horizontal="left"/>
    </xf>
    <xf numFmtId="0" fontId="3" fillId="6" borderId="19" xfId="39" applyFill="1" applyBorder="1" applyAlignment="1">
      <alignment horizontal="left"/>
    </xf>
    <xf numFmtId="0" fontId="3" fillId="6" borderId="20" xfId="39" applyFill="1" applyBorder="1" applyAlignment="1">
      <alignment horizontal="left"/>
    </xf>
    <xf numFmtId="168" fontId="3" fillId="0" borderId="21" xfId="39" applyNumberFormat="1" applyBorder="1"/>
    <xf numFmtId="0" fontId="23" fillId="0" borderId="0" xfId="39" applyFont="1" applyAlignment="1">
      <alignment horizontal="left"/>
    </xf>
    <xf numFmtId="168" fontId="23" fillId="0" borderId="0" xfId="39" applyNumberFormat="1" applyFont="1"/>
    <xf numFmtId="0" fontId="20" fillId="0" borderId="0" xfId="39" applyFont="1" applyAlignment="1">
      <alignment horizontal="left"/>
    </xf>
    <xf numFmtId="168" fontId="20" fillId="0" borderId="0" xfId="39" applyNumberFormat="1" applyFont="1"/>
    <xf numFmtId="164" fontId="0" fillId="6" borderId="0" xfId="40" applyFont="1" applyFill="1"/>
    <xf numFmtId="2" fontId="3" fillId="0" borderId="0" xfId="39" applyNumberFormat="1"/>
    <xf numFmtId="0" fontId="7" fillId="0" borderId="11" xfId="0" applyFont="1" applyBorder="1" applyAlignment="1" applyProtection="1">
      <alignment wrapText="1"/>
      <protection locked="0"/>
    </xf>
    <xf numFmtId="0" fontId="9" fillId="4" borderId="0" xfId="0" applyFont="1" applyFill="1" applyAlignment="1" applyProtection="1">
      <alignment horizontal="center"/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  <protection locked="0"/>
    </xf>
    <xf numFmtId="0" fontId="0" fillId="2" borderId="47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0" fillId="0" borderId="23" xfId="0" applyBorder="1" applyProtection="1">
      <protection locked="0"/>
    </xf>
    <xf numFmtId="0" fontId="0" fillId="4" borderId="23" xfId="0" applyFill="1" applyBorder="1" applyProtection="1">
      <protection locked="0"/>
    </xf>
    <xf numFmtId="0" fontId="9" fillId="4" borderId="42" xfId="0" applyFont="1" applyFill="1" applyBorder="1" applyProtection="1">
      <protection locked="0"/>
    </xf>
    <xf numFmtId="0" fontId="0" fillId="0" borderId="43" xfId="0" applyBorder="1" applyProtection="1">
      <protection locked="0"/>
    </xf>
    <xf numFmtId="0" fontId="7" fillId="0" borderId="43" xfId="0" applyFont="1" applyBorder="1" applyProtection="1">
      <protection locked="0"/>
    </xf>
    <xf numFmtId="0" fontId="7" fillId="0" borderId="43" xfId="0" applyFont="1" applyBorder="1" applyAlignment="1" applyProtection="1">
      <alignment wrapText="1"/>
      <protection locked="0"/>
    </xf>
    <xf numFmtId="0" fontId="18" fillId="11" borderId="43" xfId="0" applyFont="1" applyFill="1" applyBorder="1" applyProtection="1">
      <protection locked="0"/>
    </xf>
    <xf numFmtId="0" fontId="3" fillId="13" borderId="0" xfId="39" applyFill="1"/>
    <xf numFmtId="0" fontId="21" fillId="14" borderId="0" xfId="39" applyFont="1" applyFill="1"/>
    <xf numFmtId="0" fontId="21" fillId="13" borderId="0" xfId="39" applyFont="1" applyFill="1"/>
    <xf numFmtId="167" fontId="7" fillId="0" borderId="0" xfId="8" applyNumberFormat="1"/>
    <xf numFmtId="166" fontId="7" fillId="0" borderId="0" xfId="4" applyFont="1" applyBorder="1"/>
    <xf numFmtId="167" fontId="7" fillId="7" borderId="31" xfId="8" applyNumberFormat="1" applyFill="1" applyBorder="1"/>
    <xf numFmtId="0" fontId="7" fillId="8" borderId="32" xfId="8" applyFill="1" applyBorder="1"/>
    <xf numFmtId="0" fontId="7" fillId="9" borderId="32" xfId="8" applyFill="1" applyBorder="1"/>
    <xf numFmtId="0" fontId="9" fillId="0" borderId="6" xfId="8" applyFont="1" applyBorder="1" applyAlignment="1">
      <alignment horizontal="center"/>
    </xf>
    <xf numFmtId="0" fontId="7" fillId="6" borderId="32" xfId="8" applyFill="1" applyBorder="1"/>
    <xf numFmtId="0" fontId="9" fillId="10" borderId="33" xfId="8" applyFont="1" applyFill="1" applyBorder="1"/>
    <xf numFmtId="167" fontId="7" fillId="7" borderId="0" xfId="8" applyNumberFormat="1" applyFill="1"/>
    <xf numFmtId="0" fontId="7" fillId="8" borderId="0" xfId="8" applyFill="1"/>
    <xf numFmtId="0" fontId="7" fillId="9" borderId="0" xfId="8" applyFill="1"/>
    <xf numFmtId="0" fontId="7" fillId="6" borderId="0" xfId="8" applyFill="1"/>
    <xf numFmtId="0" fontId="9" fillId="10" borderId="0" xfId="8" applyFont="1" applyFill="1"/>
    <xf numFmtId="167" fontId="7" fillId="0" borderId="0" xfId="8" applyNumberFormat="1" applyAlignment="1">
      <alignment horizontal="right"/>
    </xf>
    <xf numFmtId="168" fontId="3" fillId="14" borderId="0" xfId="39" applyNumberFormat="1" applyFill="1"/>
    <xf numFmtId="0" fontId="3" fillId="14" borderId="0" xfId="39" applyFill="1"/>
    <xf numFmtId="0" fontId="7" fillId="0" borderId="11" xfId="8" applyBorder="1" applyProtection="1">
      <protection locked="0"/>
    </xf>
    <xf numFmtId="0" fontId="3" fillId="14" borderId="0" xfId="39" applyFill="1" applyAlignment="1">
      <alignment horizontal="center"/>
    </xf>
    <xf numFmtId="0" fontId="3" fillId="14" borderId="0" xfId="39" applyFill="1" applyAlignment="1">
      <alignment horizontal="left"/>
    </xf>
    <xf numFmtId="164" fontId="0" fillId="14" borderId="0" xfId="40" applyFont="1" applyFill="1"/>
    <xf numFmtId="0" fontId="3" fillId="14" borderId="19" xfId="39" applyFill="1" applyBorder="1"/>
    <xf numFmtId="0" fontId="23" fillId="14" borderId="0" xfId="39" applyFont="1" applyFill="1" applyAlignment="1">
      <alignment horizontal="left"/>
    </xf>
    <xf numFmtId="168" fontId="23" fillId="14" borderId="0" xfId="39" applyNumberFormat="1" applyFont="1" applyFill="1"/>
    <xf numFmtId="0" fontId="3" fillId="14" borderId="20" xfId="39" applyFill="1" applyBorder="1"/>
    <xf numFmtId="0" fontId="3" fillId="14" borderId="24" xfId="39" applyFill="1" applyBorder="1"/>
    <xf numFmtId="0" fontId="3" fillId="14" borderId="24" xfId="39" applyFill="1" applyBorder="1" applyAlignment="1">
      <alignment horizontal="center"/>
    </xf>
    <xf numFmtId="168" fontId="3" fillId="14" borderId="24" xfId="39" applyNumberFormat="1" applyFill="1" applyBorder="1"/>
    <xf numFmtId="0" fontId="3" fillId="14" borderId="0" xfId="39" applyFill="1" applyAlignment="1">
      <alignment vertical="center"/>
    </xf>
    <xf numFmtId="0" fontId="3" fillId="14" borderId="19" xfId="39" applyFill="1" applyBorder="1" applyAlignment="1">
      <alignment horizontal="left"/>
    </xf>
    <xf numFmtId="168" fontId="3" fillId="14" borderId="23" xfId="39" applyNumberFormat="1" applyFill="1" applyBorder="1"/>
    <xf numFmtId="168" fontId="3" fillId="14" borderId="25" xfId="39" applyNumberFormat="1" applyFill="1" applyBorder="1"/>
    <xf numFmtId="0" fontId="0" fillId="0" borderId="38" xfId="0" applyBorder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/>
    </xf>
    <xf numFmtId="0" fontId="7" fillId="0" borderId="0" xfId="8" applyAlignment="1">
      <alignment horizontal="left"/>
    </xf>
    <xf numFmtId="0" fontId="3" fillId="13" borderId="0" xfId="39" applyFill="1" applyAlignment="1">
      <alignment horizontal="center"/>
    </xf>
    <xf numFmtId="168" fontId="3" fillId="14" borderId="0" xfId="39" applyNumberFormat="1" applyFill="1" applyAlignment="1">
      <alignment horizontal="center"/>
    </xf>
    <xf numFmtId="0" fontId="21" fillId="14" borderId="48" xfId="39" applyFont="1" applyFill="1" applyBorder="1" applyAlignment="1">
      <alignment horizontal="center"/>
    </xf>
    <xf numFmtId="0" fontId="21" fillId="14" borderId="49" xfId="39" applyFont="1" applyFill="1" applyBorder="1" applyAlignment="1">
      <alignment horizontal="center"/>
    </xf>
    <xf numFmtId="166" fontId="0" fillId="6" borderId="4" xfId="10" applyFont="1" applyFill="1" applyBorder="1" applyProtection="1">
      <protection locked="0"/>
    </xf>
    <xf numFmtId="166" fontId="0" fillId="6" borderId="12" xfId="10" applyFont="1" applyFill="1" applyBorder="1" applyProtection="1">
      <protection locked="0"/>
    </xf>
    <xf numFmtId="0" fontId="3" fillId="15" borderId="0" xfId="39" applyFill="1"/>
    <xf numFmtId="0" fontId="23" fillId="15" borderId="0" xfId="39" applyFont="1" applyFill="1"/>
    <xf numFmtId="164" fontId="0" fillId="0" borderId="0" xfId="40" applyFont="1" applyFill="1"/>
    <xf numFmtId="0" fontId="3" fillId="0" borderId="18" xfId="39" applyBorder="1" applyAlignment="1">
      <alignment horizontal="left"/>
    </xf>
    <xf numFmtId="168" fontId="3" fillId="0" borderId="22" xfId="39" applyNumberFormat="1" applyBorder="1"/>
    <xf numFmtId="0" fontId="21" fillId="0" borderId="0" xfId="39" applyFont="1" applyAlignment="1">
      <alignment wrapText="1"/>
    </xf>
    <xf numFmtId="0" fontId="1" fillId="0" borderId="24" xfId="39" applyFont="1" applyBorder="1"/>
    <xf numFmtId="0" fontId="9" fillId="0" borderId="11" xfId="0" applyFont="1" applyBorder="1" applyProtection="1">
      <protection locked="0"/>
    </xf>
    <xf numFmtId="0" fontId="10" fillId="8" borderId="50" xfId="2" applyFill="1" applyBorder="1"/>
    <xf numFmtId="0" fontId="10" fillId="8" borderId="51" xfId="2" applyFill="1" applyBorder="1"/>
    <xf numFmtId="0" fontId="7" fillId="0" borderId="0" xfId="0" applyFont="1"/>
    <xf numFmtId="170" fontId="0" fillId="0" borderId="0" xfId="0" applyNumberFormat="1"/>
    <xf numFmtId="16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0" fontId="7" fillId="0" borderId="0" xfId="0" applyFont="1" applyAlignment="1" applyProtection="1">
      <alignment horizontal="left"/>
      <protection locked="0"/>
    </xf>
    <xf numFmtId="0" fontId="0" fillId="0" borderId="26" xfId="0" applyBorder="1"/>
    <xf numFmtId="0" fontId="7" fillId="0" borderId="26" xfId="0" applyFont="1" applyBorder="1" applyAlignment="1">
      <alignment horizontal="center"/>
    </xf>
    <xf numFmtId="0" fontId="7" fillId="0" borderId="26" xfId="0" applyFont="1" applyBorder="1"/>
    <xf numFmtId="0" fontId="7" fillId="0" borderId="0" xfId="0" quotePrefix="1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5" borderId="7" xfId="0" applyFont="1" applyFill="1" applyBorder="1" applyProtection="1">
      <protection locked="0"/>
    </xf>
    <xf numFmtId="0" fontId="7" fillId="0" borderId="38" xfId="0" applyFont="1" applyBorder="1" applyAlignment="1" applyProtection="1">
      <alignment horizontal="center"/>
      <protection locked="0"/>
    </xf>
    <xf numFmtId="166" fontId="7" fillId="0" borderId="0" xfId="5" applyFont="1" applyProtection="1">
      <protection locked="0"/>
    </xf>
    <xf numFmtId="0" fontId="1" fillId="0" borderId="0" xfId="39" applyFont="1"/>
    <xf numFmtId="168" fontId="1" fillId="0" borderId="0" xfId="39" applyNumberFormat="1" applyFont="1"/>
    <xf numFmtId="2" fontId="1" fillId="0" borderId="0" xfId="39" applyNumberFormat="1" applyFont="1"/>
    <xf numFmtId="0" fontId="1" fillId="15" borderId="0" xfId="39" applyFont="1" applyFill="1"/>
    <xf numFmtId="0" fontId="1" fillId="0" borderId="0" xfId="39" applyFont="1" applyAlignment="1">
      <alignment horizontal="left"/>
    </xf>
    <xf numFmtId="0" fontId="1" fillId="0" borderId="19" xfId="39" applyFont="1" applyBorder="1"/>
    <xf numFmtId="0" fontId="1" fillId="13" borderId="0" xfId="39" applyFont="1" applyFill="1" applyAlignment="1">
      <alignment horizontal="center"/>
    </xf>
    <xf numFmtId="0" fontId="7" fillId="12" borderId="43" xfId="0" applyFont="1" applyFill="1" applyBorder="1" applyProtection="1">
      <protection locked="0"/>
    </xf>
    <xf numFmtId="0" fontId="11" fillId="0" borderId="52" xfId="0" applyFont="1" applyBorder="1" applyProtection="1">
      <protection locked="0"/>
    </xf>
    <xf numFmtId="0" fontId="0" fillId="0" borderId="53" xfId="0" applyBorder="1" applyProtection="1">
      <protection locked="0"/>
    </xf>
    <xf numFmtId="0" fontId="0" fillId="0" borderId="53" xfId="0" applyBorder="1" applyAlignment="1" applyProtection="1">
      <alignment horizontal="center"/>
      <protection locked="0"/>
    </xf>
    <xf numFmtId="2" fontId="0" fillId="3" borderId="54" xfId="0" applyNumberFormat="1" applyFill="1" applyBorder="1" applyAlignment="1" applyProtection="1">
      <alignment horizontal="center"/>
      <protection locked="0"/>
    </xf>
    <xf numFmtId="0" fontId="25" fillId="0" borderId="55" xfId="0" applyFont="1" applyBorder="1" applyProtection="1">
      <protection locked="0"/>
    </xf>
    <xf numFmtId="0" fontId="25" fillId="0" borderId="55" xfId="0" applyFont="1" applyBorder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3" fillId="13" borderId="44" xfId="39" applyFill="1" applyBorder="1" applyAlignment="1">
      <alignment horizontal="center"/>
    </xf>
    <xf numFmtId="0" fontId="3" fillId="13" borderId="45" xfId="39" applyFill="1" applyBorder="1" applyAlignment="1">
      <alignment horizontal="center"/>
    </xf>
    <xf numFmtId="0" fontId="3" fillId="14" borderId="44" xfId="39" applyFill="1" applyBorder="1" applyAlignment="1">
      <alignment horizontal="center"/>
    </xf>
    <xf numFmtId="0" fontId="3" fillId="14" borderId="45" xfId="39" applyFill="1" applyBorder="1" applyAlignment="1">
      <alignment horizontal="center"/>
    </xf>
    <xf numFmtId="0" fontId="3" fillId="14" borderId="46" xfId="39" applyFill="1" applyBorder="1" applyAlignment="1">
      <alignment horizontal="center"/>
    </xf>
    <xf numFmtId="0" fontId="3" fillId="13" borderId="46" xfId="39" applyFill="1" applyBorder="1" applyAlignment="1">
      <alignment horizontal="center"/>
    </xf>
    <xf numFmtId="0" fontId="3" fillId="13" borderId="18" xfId="39" applyFill="1" applyBorder="1" applyAlignment="1">
      <alignment horizontal="center"/>
    </xf>
    <xf numFmtId="0" fontId="3" fillId="13" borderId="21" xfId="39" applyFill="1" applyBorder="1" applyAlignment="1">
      <alignment horizontal="center"/>
    </xf>
    <xf numFmtId="0" fontId="13" fillId="0" borderId="41" xfId="0" applyFont="1" applyBorder="1" applyAlignment="1" applyProtection="1">
      <alignment horizontal="center" vertical="center"/>
      <protection locked="0"/>
    </xf>
    <xf numFmtId="0" fontId="7" fillId="0" borderId="0" xfId="0" quotePrefix="1" applyFont="1" applyAlignment="1" applyProtection="1">
      <alignment horizontal="left"/>
      <protection locked="0"/>
    </xf>
    <xf numFmtId="0" fontId="9" fillId="0" borderId="5" xfId="8" applyFont="1" applyBorder="1" applyAlignment="1">
      <alignment horizontal="center"/>
    </xf>
    <xf numFmtId="0" fontId="9" fillId="0" borderId="4" xfId="8" applyFont="1" applyBorder="1" applyAlignment="1">
      <alignment horizontal="center"/>
    </xf>
  </cellXfs>
  <cellStyles count="53">
    <cellStyle name="Currency" xfId="4" builtinId="4"/>
    <cellStyle name="Komma 2" xfId="38" xr:uid="{00000000-0005-0000-0000-000000000000}"/>
    <cellStyle name="Normal" xfId="0" builtinId="0"/>
    <cellStyle name="Percent" xfId="1" builtinId="5"/>
    <cellStyle name="Prozent 2" xfId="24" xr:uid="{00000000-0005-0000-0000-000002000000}"/>
    <cellStyle name="Standard 2" xfId="2" xr:uid="{00000000-0005-0000-0000-000004000000}"/>
    <cellStyle name="Standard 2 2" xfId="8" xr:uid="{00000000-0005-0000-0000-000005000000}"/>
    <cellStyle name="Standard 3" xfId="3" xr:uid="{00000000-0005-0000-0000-000006000000}"/>
    <cellStyle name="Standard 3 2" xfId="9" xr:uid="{00000000-0005-0000-0000-000007000000}"/>
    <cellStyle name="Standard 3 2 2" xfId="19" xr:uid="{00000000-0005-0000-0000-000008000000}"/>
    <cellStyle name="Standard 3 2 2 2" xfId="36" xr:uid="{00000000-0005-0000-0000-000009000000}"/>
    <cellStyle name="Standard 3 2 2 3" xfId="51" xr:uid="{00000000-0005-0000-0000-00000A000000}"/>
    <cellStyle name="Standard 3 2 3" xfId="15" xr:uid="{00000000-0005-0000-0000-00000B000000}"/>
    <cellStyle name="Standard 3 2 3 2" xfId="32" xr:uid="{00000000-0005-0000-0000-00000C000000}"/>
    <cellStyle name="Standard 3 2 3 3" xfId="47" xr:uid="{00000000-0005-0000-0000-00000D000000}"/>
    <cellStyle name="Standard 3 2 4" xfId="28" xr:uid="{00000000-0005-0000-0000-00000E000000}"/>
    <cellStyle name="Standard 3 2 5" xfId="43" xr:uid="{00000000-0005-0000-0000-00000F000000}"/>
    <cellStyle name="Standard 3 3" xfId="17" xr:uid="{00000000-0005-0000-0000-000010000000}"/>
    <cellStyle name="Standard 3 3 2" xfId="34" xr:uid="{00000000-0005-0000-0000-000011000000}"/>
    <cellStyle name="Standard 3 3 3" xfId="49" xr:uid="{00000000-0005-0000-0000-000012000000}"/>
    <cellStyle name="Standard 3 4" xfId="13" xr:uid="{00000000-0005-0000-0000-000013000000}"/>
    <cellStyle name="Standard 3 4 2" xfId="30" xr:uid="{00000000-0005-0000-0000-000014000000}"/>
    <cellStyle name="Standard 3 4 3" xfId="45" xr:uid="{00000000-0005-0000-0000-000015000000}"/>
    <cellStyle name="Standard 3 5" xfId="25" xr:uid="{00000000-0005-0000-0000-000016000000}"/>
    <cellStyle name="Standard 3 6" xfId="41" xr:uid="{00000000-0005-0000-0000-000017000000}"/>
    <cellStyle name="Standard 4" xfId="23" xr:uid="{00000000-0005-0000-0000-000018000000}"/>
    <cellStyle name="Standard 5" xfId="21" xr:uid="{00000000-0005-0000-0000-000019000000}"/>
    <cellStyle name="Standard 6" xfId="39" xr:uid="{00000000-0005-0000-0000-00001A000000}"/>
    <cellStyle name="Währung 2" xfId="5" xr:uid="{00000000-0005-0000-0000-00001C000000}"/>
    <cellStyle name="Währung 2 2" xfId="10" xr:uid="{00000000-0005-0000-0000-00001D000000}"/>
    <cellStyle name="Währung 3" xfId="6" xr:uid="{00000000-0005-0000-0000-00001E000000}"/>
    <cellStyle name="Währung 3 2" xfId="11" xr:uid="{00000000-0005-0000-0000-00001F000000}"/>
    <cellStyle name="Währung 4" xfId="7" xr:uid="{00000000-0005-0000-0000-000020000000}"/>
    <cellStyle name="Währung 4 2" xfId="12" xr:uid="{00000000-0005-0000-0000-000021000000}"/>
    <cellStyle name="Währung 4 2 2" xfId="20" xr:uid="{00000000-0005-0000-0000-000022000000}"/>
    <cellStyle name="Währung 4 2 2 2" xfId="37" xr:uid="{00000000-0005-0000-0000-000023000000}"/>
    <cellStyle name="Währung 4 2 2 3" xfId="52" xr:uid="{00000000-0005-0000-0000-000024000000}"/>
    <cellStyle name="Währung 4 2 3" xfId="16" xr:uid="{00000000-0005-0000-0000-000025000000}"/>
    <cellStyle name="Währung 4 2 3 2" xfId="33" xr:uid="{00000000-0005-0000-0000-000026000000}"/>
    <cellStyle name="Währung 4 2 3 3" xfId="48" xr:uid="{00000000-0005-0000-0000-000027000000}"/>
    <cellStyle name="Währung 4 2 4" xfId="29" xr:uid="{00000000-0005-0000-0000-000028000000}"/>
    <cellStyle name="Währung 4 2 5" xfId="44" xr:uid="{00000000-0005-0000-0000-000029000000}"/>
    <cellStyle name="Währung 4 3" xfId="18" xr:uid="{00000000-0005-0000-0000-00002A000000}"/>
    <cellStyle name="Währung 4 3 2" xfId="35" xr:uid="{00000000-0005-0000-0000-00002B000000}"/>
    <cellStyle name="Währung 4 3 3" xfId="50" xr:uid="{00000000-0005-0000-0000-00002C000000}"/>
    <cellStyle name="Währung 4 4" xfId="14" xr:uid="{00000000-0005-0000-0000-00002D000000}"/>
    <cellStyle name="Währung 4 4 2" xfId="31" xr:uid="{00000000-0005-0000-0000-00002E000000}"/>
    <cellStyle name="Währung 4 4 3" xfId="46" xr:uid="{00000000-0005-0000-0000-00002F000000}"/>
    <cellStyle name="Währung 4 5" xfId="27" xr:uid="{00000000-0005-0000-0000-000030000000}"/>
    <cellStyle name="Währung 4 6" xfId="42" xr:uid="{00000000-0005-0000-0000-000031000000}"/>
    <cellStyle name="Währung 5" xfId="26" xr:uid="{00000000-0005-0000-0000-000032000000}"/>
    <cellStyle name="Währung 6" xfId="22" xr:uid="{00000000-0005-0000-0000-000033000000}"/>
    <cellStyle name="Währung 7" xfId="40" xr:uid="{00000000-0005-0000-0000-000034000000}"/>
  </cellStyles>
  <dxfs count="9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numFmt numFmtId="2" formatCode="0.00"/>
      <fill>
        <patternFill patternType="solid">
          <fgColor indexed="64"/>
          <bgColor indexed="41"/>
        </patternFill>
      </fill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/>
        <bottom/>
        <vertical/>
        <horizontal/>
      </border>
      <protection locked="0" hidden="0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border outline="0">
        <top style="medium">
          <color indexed="64"/>
        </top>
        <bottom style="medium">
          <color indexed="64"/>
        </bottom>
      </border>
    </dxf>
    <dxf>
      <font>
        <sz val="8"/>
        <color theme="0"/>
      </font>
      <fill>
        <patternFill patternType="none"/>
      </fill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</xdr:colOff>
      <xdr:row>0</xdr:row>
      <xdr:rowOff>28575</xdr:rowOff>
    </xdr:from>
    <xdr:to>
      <xdr:col>24</xdr:col>
      <xdr:colOff>631825</xdr:colOff>
      <xdr:row>2</xdr:row>
      <xdr:rowOff>44450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4723FCC-29CE-424B-801F-8E268F353301}"/>
            </a:ext>
            <a:ext uri="{6ECC49D1-AA05-4338-93AA-15A1B29DFB0A}">
              <asl:scriptLink xmlns:asl="http://schemas.microsoft.com/office/drawing/2021/scriptlink" val="{&quot;shareId&quot;:&quot;ms-officescript%3A%2F%2Fsharepoint_sharinglink%2Fu!aHR0cHM6Ly9hc3lzbWljcm8uc2hhcmVwb2ludC5jb20vOnU6L3MvQ29uY2VwdEFTWVNEb2N1bWVudFNlcnZlci9FWVNVbjZpWlVtVklnTkdBVjdOSllqSUJRQUc5VE1GZV9HQTB5T3REakJLSUpn&quot;}"/>
            </a:ext>
          </a:extLst>
        </xdr:cNvPr>
        <xdr:cNvSpPr/>
      </xdr:nvSpPr>
      <xdr:spPr>
        <a:xfrm>
          <a:off x="17392650" y="28575"/>
          <a:ext cx="2755900" cy="292100"/>
        </a:xfrm>
        <a:prstGeom prst="roundRect">
          <a:avLst/>
        </a:prstGeom>
        <a:solidFill>
          <a:sysClr val="window" lastClr="FFFFF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Unhide all rows and columns of Matrix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23</xdr:col>
      <xdr:colOff>685800</xdr:colOff>
      <xdr:row>285</xdr:row>
      <xdr:rowOff>66675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14300"/>
          <a:ext cx="21316950" cy="55006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43198</xdr:colOff>
      <xdr:row>29</xdr:row>
      <xdr:rowOff>38099</xdr:rowOff>
    </xdr:from>
    <xdr:ext cx="11734575" cy="478861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 rot="1823173">
          <a:off x="405148" y="4933949"/>
          <a:ext cx="11734575" cy="47886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/>
        <a:p>
          <a:r>
            <a:rPr lang="de-DE" sz="10000">
              <a:ln>
                <a:solidFill>
                  <a:srgbClr val="FF0000"/>
                </a:solidFill>
              </a:ln>
              <a:noFill/>
            </a:rPr>
            <a:t>INTERNAL </a:t>
          </a:r>
          <a:r>
            <a:rPr lang="de-DE" sz="10000">
              <a:ln>
                <a:solidFill>
                  <a:srgbClr val="FF0000"/>
                </a:solidFill>
              </a:ln>
              <a:noFill/>
              <a:effectLst>
                <a:glow rad="127000">
                  <a:schemeClr val="accent1">
                    <a:alpha val="0"/>
                  </a:schemeClr>
                </a:glow>
              </a:effectLst>
            </a:rPr>
            <a:t>DOKUMENT</a:t>
          </a:r>
        </a:p>
        <a:p>
          <a:r>
            <a:rPr lang="de-DE" sz="10000">
              <a:ln>
                <a:solidFill>
                  <a:srgbClr val="FF0000"/>
                </a:solidFill>
              </a:ln>
              <a:noFill/>
              <a:effectLst>
                <a:glow rad="127000">
                  <a:schemeClr val="accent1">
                    <a:alpha val="0"/>
                  </a:schemeClr>
                </a:glow>
              </a:effectLst>
            </a:rPr>
            <a:t>Germany only!!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sysmicro.sharepoint.com/sites/ConceptASYSDocumentServer/Freigegebene%20Dokumente/General/08_Engineering/01_Analysis/RCA/Templates/NEUE-MAtrix(Wochenlieferung-ab-7-Roboter)/180713%20Scara-NT-AVR_PREISE-neu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W - ASML Scara XT"/>
      <sheetName val="Scara - NT (neu)"/>
      <sheetName val="Verpackung"/>
      <sheetName val="old - Scara - NT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63D620-4094-4E65-A25B-A52D99D61D8B}" name="MatrixTable" displayName="MatrixTable" ref="B3:F81" totalsRowShown="0" headerRowDxfId="8" tableBorderDxfId="7">
  <autoFilter ref="B3:F81" xr:uid="{5F63D620-4094-4E65-A25B-A52D99D61D8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687085C-039F-448F-B1B7-CE528E50CBAC}" name="module_part" dataDxfId="6"/>
    <tableColumn id="2" xr3:uid="{D05EE6BD-7D65-44C9-8FE1-415C9FE56D7C}" name="id_no" dataDxfId="5"/>
    <tableColumn id="3" xr3:uid="{FDFA0339-4CB3-4538-8CC1-F13DA590B90B}" name="price" dataDxfId="4"/>
    <tableColumn id="4" xr3:uid="{9E40AB15-8425-40B5-AE2D-478638C59AA5}" name="need_amount" dataDxfId="3"/>
    <tableColumn id="5" xr3:uid="{34BB0D33-8845-4997-B1A7-DA0D208413AF}" name="price_sum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9"/>
    <pageSetUpPr fitToPage="1"/>
  </sheetPr>
  <dimension ref="A1:AH110"/>
  <sheetViews>
    <sheetView tabSelected="1" view="pageBreakPreview" topLeftCell="B1" zoomScale="110" zoomScaleNormal="90" zoomScaleSheetLayoutView="110" workbookViewId="0">
      <selection activeCell="F5" sqref="F5"/>
    </sheetView>
  </sheetViews>
  <sheetFormatPr defaultColWidth="9.109375" defaultRowHeight="13.2" outlineLevelRow="1" outlineLevelCol="1" x14ac:dyDescent="0.25"/>
  <cols>
    <col min="1" max="1" width="5.44140625" customWidth="1"/>
    <col min="2" max="2" width="35.88671875" customWidth="1"/>
    <col min="3" max="3" width="11.5546875" customWidth="1"/>
    <col min="4" max="4" width="11.44140625" customWidth="1" outlineLevel="1"/>
    <col min="5" max="5" width="9" style="1" customWidth="1"/>
    <col min="6" max="6" width="24.5546875" style="1" customWidth="1"/>
    <col min="7" max="7" width="4.33203125" style="1" customWidth="1"/>
    <col min="8" max="10" width="11.88671875" style="1" hidden="1" customWidth="1" outlineLevel="1"/>
    <col min="11" max="11" width="4.109375" style="1" hidden="1" customWidth="1" outlineLevel="1"/>
    <col min="12" max="12" width="9.109375" style="1" hidden="1" customWidth="1" outlineLevel="1"/>
    <col min="13" max="14" width="3.88671875" style="1" hidden="1" customWidth="1" outlineLevel="1"/>
    <col min="15" max="15" width="9.6640625" style="15" customWidth="1" collapsed="1"/>
    <col min="16" max="16" width="9.6640625" style="1" customWidth="1"/>
    <col min="17" max="17" width="18.88671875" style="1" customWidth="1"/>
    <col min="18" max="18" width="14" style="1" customWidth="1"/>
    <col min="19" max="19" width="24.44140625" style="1" customWidth="1"/>
    <col min="20" max="20" width="14" style="1" customWidth="1"/>
    <col min="21" max="21" width="11" style="1" customWidth="1"/>
    <col min="22" max="22" width="9.33203125" style="1" customWidth="1"/>
    <col min="23" max="23" width="11.44140625" customWidth="1"/>
    <col min="24" max="24" width="11.5546875" style="16" customWidth="1"/>
    <col min="25" max="25" width="24.109375" customWidth="1"/>
    <col min="26" max="26" width="13.44140625" customWidth="1"/>
    <col min="27" max="27" width="20.5546875" bestFit="1" customWidth="1"/>
    <col min="28" max="28" width="14.88671875" bestFit="1" customWidth="1"/>
    <col min="30" max="30" width="23.5546875" bestFit="1" customWidth="1"/>
    <col min="31" max="31" width="16.109375" customWidth="1"/>
  </cols>
  <sheetData>
    <row r="1" spans="1:34" ht="3.75" customHeight="1" thickBot="1" x14ac:dyDescent="0.3">
      <c r="A1" s="36"/>
      <c r="B1" s="36"/>
      <c r="C1" s="36"/>
      <c r="D1" s="36"/>
      <c r="E1" s="34"/>
      <c r="F1" s="34"/>
      <c r="G1" s="34"/>
      <c r="H1" s="34"/>
      <c r="I1" s="34"/>
      <c r="J1" s="34"/>
      <c r="K1" s="34"/>
      <c r="L1" s="255"/>
      <c r="M1" s="260" t="s">
        <v>0</v>
      </c>
      <c r="N1" s="37"/>
      <c r="O1" s="230"/>
      <c r="P1" s="14"/>
      <c r="Q1" s="14"/>
      <c r="X1" s="4"/>
    </row>
    <row r="2" spans="1:34" ht="18" thickBot="1" x14ac:dyDescent="0.3">
      <c r="A2" s="36"/>
      <c r="B2" s="278" t="s">
        <v>1</v>
      </c>
      <c r="C2" s="278"/>
      <c r="D2" s="278"/>
      <c r="E2" s="278"/>
      <c r="F2" s="278"/>
      <c r="G2" s="38"/>
      <c r="H2" s="34"/>
      <c r="I2" s="34"/>
      <c r="J2" s="34"/>
      <c r="K2" s="34"/>
      <c r="L2" s="255"/>
      <c r="M2" s="260"/>
      <c r="N2" s="111"/>
      <c r="O2" s="128"/>
      <c r="P2" s="251"/>
      <c r="Q2" s="251"/>
      <c r="X2" s="5"/>
    </row>
    <row r="3" spans="1:34" ht="9" customHeight="1" x14ac:dyDescent="0.25">
      <c r="A3" s="36"/>
      <c r="B3" s="276" t="s">
        <v>2</v>
      </c>
      <c r="C3" s="276" t="s">
        <v>3</v>
      </c>
      <c r="D3" s="276" t="s">
        <v>4</v>
      </c>
      <c r="E3" s="277" t="s">
        <v>5</v>
      </c>
      <c r="F3" s="277" t="s">
        <v>6</v>
      </c>
      <c r="G3" s="34"/>
      <c r="H3" s="34"/>
      <c r="I3" s="34"/>
      <c r="J3" s="34"/>
      <c r="K3" s="34"/>
      <c r="L3" s="34"/>
      <c r="M3" s="34"/>
      <c r="N3" s="34"/>
      <c r="X3" s="6"/>
    </row>
    <row r="4" spans="1:34" x14ac:dyDescent="0.25">
      <c r="A4" s="36"/>
      <c r="B4" s="39" t="s">
        <v>7</v>
      </c>
      <c r="C4" s="112" t="s">
        <v>8</v>
      </c>
      <c r="D4" s="36"/>
      <c r="E4" s="34"/>
      <c r="F4" s="107" t="s">
        <v>9</v>
      </c>
      <c r="G4" s="42"/>
      <c r="H4" s="34"/>
      <c r="I4" s="34"/>
      <c r="J4" s="34"/>
      <c r="K4" s="34"/>
      <c r="L4" s="34"/>
      <c r="M4" s="34"/>
      <c r="N4" s="41"/>
    </row>
    <row r="5" spans="1:34" ht="12.75" customHeight="1" x14ac:dyDescent="0.25">
      <c r="A5" s="36"/>
      <c r="B5" s="39" t="s">
        <v>10</v>
      </c>
      <c r="C5" s="259"/>
      <c r="D5" s="259"/>
      <c r="E5" s="259"/>
      <c r="F5" s="107" t="s">
        <v>335</v>
      </c>
      <c r="G5" s="34"/>
      <c r="H5" s="34"/>
      <c r="I5" s="34"/>
      <c r="J5" s="34"/>
      <c r="K5" s="34"/>
      <c r="L5" s="34"/>
      <c r="M5" s="34"/>
      <c r="N5" s="41"/>
    </row>
    <row r="6" spans="1:34" ht="13.5" customHeight="1" x14ac:dyDescent="0.25">
      <c r="A6" s="36"/>
      <c r="B6" s="39"/>
      <c r="D6" s="108"/>
      <c r="E6" s="109"/>
      <c r="F6" s="39" t="s">
        <v>11</v>
      </c>
      <c r="G6" s="34"/>
      <c r="H6" s="34"/>
      <c r="I6" s="34"/>
      <c r="J6" s="34"/>
      <c r="K6" s="34"/>
      <c r="L6" s="34"/>
      <c r="M6" s="34"/>
      <c r="N6" s="34"/>
    </row>
    <row r="7" spans="1:34" s="100" customFormat="1" ht="13.5" customHeight="1" x14ac:dyDescent="0.25">
      <c r="A7" s="98"/>
      <c r="B7" s="111" t="s">
        <v>11</v>
      </c>
      <c r="C7" s="110" t="s">
        <v>12</v>
      </c>
      <c r="D7" s="36"/>
      <c r="E7" s="255"/>
      <c r="F7" s="34"/>
      <c r="G7" s="99"/>
      <c r="H7" s="99"/>
      <c r="I7" s="99"/>
      <c r="J7" s="99"/>
      <c r="K7" s="99"/>
      <c r="L7" s="99"/>
      <c r="M7" s="99"/>
      <c r="N7" s="99"/>
      <c r="O7" s="231"/>
    </row>
    <row r="8" spans="1:34" s="100" customFormat="1" ht="13.5" customHeight="1" x14ac:dyDescent="0.25">
      <c r="A8" s="98"/>
      <c r="B8" s="111" t="s">
        <v>11</v>
      </c>
      <c r="C8" s="98" t="s">
        <v>13</v>
      </c>
      <c r="D8" s="98"/>
      <c r="E8" s="99"/>
      <c r="F8" s="127"/>
      <c r="G8" s="99"/>
      <c r="H8" s="99"/>
      <c r="I8" s="99"/>
      <c r="J8" s="99"/>
      <c r="K8" s="99"/>
      <c r="L8" s="99"/>
      <c r="M8" s="99"/>
      <c r="N8" s="99"/>
      <c r="O8" s="231"/>
      <c r="Z8" s="98"/>
      <c r="AA8" s="98"/>
      <c r="AB8" s="98"/>
      <c r="AC8" s="98"/>
      <c r="AD8" s="98"/>
    </row>
    <row r="9" spans="1:34" ht="15" customHeight="1" thickBot="1" x14ac:dyDescent="0.3">
      <c r="A9" s="36"/>
      <c r="B9" s="111" t="s">
        <v>11</v>
      </c>
      <c r="C9" s="98" t="s">
        <v>14</v>
      </c>
      <c r="D9" s="98"/>
      <c r="E9" s="99"/>
      <c r="F9" s="127" t="s">
        <v>15</v>
      </c>
      <c r="G9" s="36"/>
      <c r="H9" s="34"/>
      <c r="I9" s="34"/>
      <c r="J9" s="34"/>
      <c r="K9" s="34"/>
      <c r="L9" s="255"/>
      <c r="M9" s="34"/>
      <c r="N9" s="34"/>
      <c r="Z9" s="36"/>
      <c r="AA9" s="36"/>
      <c r="AB9" s="36"/>
      <c r="AC9" s="36"/>
      <c r="AD9" s="36"/>
    </row>
    <row r="10" spans="1:34" s="3" customFormat="1" ht="25.5" customHeight="1" x14ac:dyDescent="0.25">
      <c r="A10" s="36"/>
      <c r="B10" s="43" t="s">
        <v>16</v>
      </c>
      <c r="C10" s="44"/>
      <c r="D10" s="44"/>
      <c r="E10" s="45"/>
      <c r="F10" s="46"/>
      <c r="G10" s="51"/>
      <c r="H10" s="38"/>
      <c r="I10" s="38"/>
      <c r="J10" s="38"/>
      <c r="K10" s="38"/>
      <c r="L10" s="255"/>
      <c r="M10" s="255"/>
      <c r="N10" s="255"/>
      <c r="O10" s="232"/>
      <c r="AG10"/>
      <c r="AH10"/>
    </row>
    <row r="11" spans="1:34" s="2" customFormat="1" ht="13.8" thickBot="1" x14ac:dyDescent="0.3">
      <c r="A11" s="36"/>
      <c r="B11" s="47" t="s">
        <v>17</v>
      </c>
      <c r="C11" s="48"/>
      <c r="D11" s="48" t="s">
        <v>18</v>
      </c>
      <c r="E11" s="49" t="s">
        <v>19</v>
      </c>
      <c r="F11" s="50" t="s">
        <v>20</v>
      </c>
      <c r="G11" s="39"/>
      <c r="H11" s="39"/>
      <c r="I11" s="39"/>
      <c r="J11" s="39"/>
      <c r="K11" s="39"/>
      <c r="L11" s="39"/>
      <c r="M11" s="39"/>
      <c r="N11" s="39"/>
      <c r="O11" s="233"/>
      <c r="Q11"/>
      <c r="AE11" s="101"/>
      <c r="AF11" s="39"/>
      <c r="AG11"/>
      <c r="AH11"/>
    </row>
    <row r="12" spans="1:34" s="2" customFormat="1" x14ac:dyDescent="0.25">
      <c r="A12" s="111"/>
      <c r="B12" s="52" t="s">
        <v>21</v>
      </c>
      <c r="C12" s="53"/>
      <c r="D12" s="54"/>
      <c r="E12" s="55"/>
      <c r="F12" s="56"/>
      <c r="G12" s="39"/>
      <c r="H12" s="39"/>
      <c r="I12" s="39"/>
      <c r="J12" s="39"/>
      <c r="K12" s="39"/>
      <c r="L12" s="39"/>
      <c r="M12" s="39"/>
      <c r="N12" s="39"/>
      <c r="O12" s="233"/>
      <c r="Q12"/>
      <c r="AE12" s="101"/>
      <c r="AF12" s="39"/>
      <c r="AG12"/>
      <c r="AH12"/>
    </row>
    <row r="13" spans="1:34" s="2" customFormat="1" ht="13.8" thickBot="1" x14ac:dyDescent="0.3">
      <c r="A13" s="36"/>
      <c r="B13" s="261" t="s">
        <v>22</v>
      </c>
      <c r="C13" s="57"/>
      <c r="D13" s="135">
        <f>'Calc.'!G6</f>
        <v>1331.068</v>
      </c>
      <c r="E13" s="58"/>
      <c r="F13" s="59">
        <f>E13*D13</f>
        <v>0</v>
      </c>
      <c r="G13" s="39"/>
      <c r="H13" s="39"/>
      <c r="I13" s="39"/>
      <c r="J13" s="39"/>
      <c r="K13" s="39"/>
      <c r="L13" s="39"/>
      <c r="M13" s="39"/>
      <c r="N13" s="39"/>
      <c r="O13" s="233"/>
      <c r="Q13"/>
      <c r="AE13" s="102"/>
      <c r="AF13" s="39"/>
      <c r="AG13"/>
      <c r="AH13"/>
    </row>
    <row r="14" spans="1:34" s="2" customFormat="1" x14ac:dyDescent="0.25">
      <c r="A14" s="36"/>
      <c r="B14" s="52" t="s">
        <v>23</v>
      </c>
      <c r="C14" s="60"/>
      <c r="D14" s="61"/>
      <c r="E14" s="62"/>
      <c r="F14" s="63"/>
      <c r="G14" s="39"/>
      <c r="H14" s="39"/>
      <c r="I14" s="39"/>
      <c r="J14" s="39"/>
      <c r="K14" s="39"/>
      <c r="L14" s="39"/>
      <c r="M14" s="39"/>
      <c r="N14" s="39"/>
      <c r="O14" s="233"/>
      <c r="Q14"/>
      <c r="AE14" s="102"/>
      <c r="AF14" s="39"/>
      <c r="AG14"/>
      <c r="AH14"/>
    </row>
    <row r="15" spans="1:34" x14ac:dyDescent="0.25">
      <c r="A15" s="36"/>
      <c r="B15" s="120" t="s">
        <v>24</v>
      </c>
      <c r="C15" s="57"/>
      <c r="D15" s="135">
        <f>'Calc.'!G15</f>
        <v>6967.2220000000007</v>
      </c>
      <c r="E15" s="58"/>
      <c r="F15" s="59">
        <f>E15*D15</f>
        <v>0</v>
      </c>
      <c r="G15" s="36"/>
      <c r="H15" s="34"/>
      <c r="I15" s="34"/>
      <c r="J15" s="34"/>
      <c r="K15" s="34"/>
      <c r="L15" s="34"/>
      <c r="M15" s="34"/>
      <c r="N15" s="34"/>
      <c r="Q15"/>
      <c r="AE15" s="101"/>
      <c r="AF15" s="36"/>
    </row>
    <row r="16" spans="1:34" x14ac:dyDescent="0.25">
      <c r="A16" s="111"/>
      <c r="B16" s="52" t="s">
        <v>25</v>
      </c>
      <c r="C16" s="60"/>
      <c r="D16" s="61"/>
      <c r="E16" s="62"/>
      <c r="F16" s="63"/>
      <c r="G16" s="36"/>
      <c r="H16" s="34"/>
      <c r="I16" s="34"/>
      <c r="J16" s="34"/>
      <c r="K16" s="34"/>
      <c r="L16" s="34"/>
      <c r="M16" s="34"/>
      <c r="N16" s="34"/>
      <c r="Q16"/>
      <c r="AE16" s="101"/>
      <c r="AF16" s="36"/>
    </row>
    <row r="17" spans="1:34" x14ac:dyDescent="0.25">
      <c r="A17" s="111"/>
      <c r="B17" s="64" t="s">
        <v>26</v>
      </c>
      <c r="C17" s="57"/>
      <c r="D17" s="135">
        <f>'Calc.'!G29</f>
        <v>1996.7599999999998</v>
      </c>
      <c r="E17" s="58"/>
      <c r="F17" s="59">
        <f>E17*D17</f>
        <v>0</v>
      </c>
      <c r="G17" s="36"/>
      <c r="H17" s="34"/>
      <c r="I17" s="34"/>
      <c r="J17" s="34"/>
      <c r="K17" s="34"/>
      <c r="L17" s="34"/>
      <c r="M17" s="34"/>
      <c r="N17" s="34"/>
      <c r="Q17"/>
      <c r="AE17" s="101"/>
      <c r="AF17" s="36"/>
    </row>
    <row r="18" spans="1:34" x14ac:dyDescent="0.25">
      <c r="A18" s="111"/>
      <c r="B18" s="103" t="s">
        <v>27</v>
      </c>
      <c r="C18" s="57"/>
      <c r="D18" s="135">
        <f>'Calc.'!G40</f>
        <v>2018.4599999999998</v>
      </c>
      <c r="E18" s="58"/>
      <c r="F18" s="59">
        <f>E18*D18</f>
        <v>0</v>
      </c>
      <c r="G18" s="36"/>
      <c r="H18" s="34"/>
      <c r="I18" s="34"/>
      <c r="J18" s="34"/>
      <c r="K18" s="34"/>
      <c r="L18" s="34"/>
      <c r="M18" s="34"/>
      <c r="N18" s="34"/>
      <c r="Q18"/>
      <c r="AE18" s="101"/>
      <c r="AF18" s="36"/>
    </row>
    <row r="19" spans="1:34" ht="13.8" thickBot="1" x14ac:dyDescent="0.3">
      <c r="A19" s="111"/>
      <c r="B19" s="65"/>
      <c r="C19" s="66"/>
      <c r="D19" s="67"/>
      <c r="E19" s="68"/>
      <c r="F19" s="69">
        <f>SUM(F13:F18)</f>
        <v>0</v>
      </c>
      <c r="G19" s="36"/>
      <c r="H19" s="34"/>
      <c r="I19" s="34"/>
      <c r="J19" s="34"/>
      <c r="K19" s="34"/>
      <c r="L19" s="34"/>
      <c r="M19" s="34"/>
      <c r="N19" s="34"/>
      <c r="Q19"/>
      <c r="AE19" s="101"/>
      <c r="AF19" s="36"/>
    </row>
    <row r="20" spans="1:34" s="2" customFormat="1" ht="13.8" x14ac:dyDescent="0.25">
      <c r="A20" s="111"/>
      <c r="B20" s="43" t="s">
        <v>28</v>
      </c>
      <c r="C20" s="44"/>
      <c r="D20" s="70"/>
      <c r="E20" s="45"/>
      <c r="F20" s="46"/>
      <c r="G20" s="39"/>
      <c r="H20" s="39"/>
      <c r="I20" s="39"/>
      <c r="J20" s="39"/>
      <c r="K20" s="39"/>
      <c r="L20" s="39"/>
      <c r="M20" s="39"/>
      <c r="N20" s="39"/>
      <c r="O20" s="233"/>
      <c r="Q20"/>
      <c r="AE20" s="101"/>
      <c r="AF20" s="39"/>
      <c r="AG20"/>
      <c r="AH20"/>
    </row>
    <row r="21" spans="1:34" ht="13.8" thickBot="1" x14ac:dyDescent="0.3">
      <c r="A21" s="36"/>
      <c r="B21" s="71" t="s">
        <v>29</v>
      </c>
      <c r="C21" s="72" t="s">
        <v>30</v>
      </c>
      <c r="D21" s="73" t="s">
        <v>18</v>
      </c>
      <c r="E21" s="74"/>
      <c r="F21" s="75" t="s">
        <v>20</v>
      </c>
      <c r="G21" s="78"/>
      <c r="H21" s="34"/>
      <c r="I21" s="34"/>
      <c r="J21" s="34"/>
      <c r="K21" s="34"/>
      <c r="L21" s="34"/>
      <c r="M21" s="34"/>
      <c r="N21" s="39"/>
      <c r="Q21"/>
      <c r="AE21" s="101"/>
      <c r="AF21" s="36"/>
    </row>
    <row r="22" spans="1:34" x14ac:dyDescent="0.25">
      <c r="A22" s="36"/>
      <c r="B22" s="129" t="s">
        <v>31</v>
      </c>
      <c r="C22" s="76"/>
      <c r="D22" s="77">
        <f>'Calc.'!G49</f>
        <v>801.16</v>
      </c>
      <c r="E22" s="58"/>
      <c r="F22" s="59">
        <f t="shared" ref="F22:F27" si="0">E22*D22</f>
        <v>0</v>
      </c>
      <c r="G22" s="78"/>
      <c r="H22" s="34"/>
      <c r="I22" s="34"/>
      <c r="J22" s="34"/>
      <c r="K22" s="34"/>
      <c r="L22" s="34"/>
      <c r="M22" s="34"/>
      <c r="N22" s="39"/>
      <c r="Q22"/>
      <c r="AE22" s="101"/>
      <c r="AF22" s="36"/>
    </row>
    <row r="23" spans="1:34" ht="12.75" customHeight="1" x14ac:dyDescent="0.25">
      <c r="A23" s="36"/>
      <c r="B23" s="129" t="s">
        <v>32</v>
      </c>
      <c r="C23" s="76"/>
      <c r="D23" s="77">
        <f>'Calc.'!G267</f>
        <v>121.92999999999999</v>
      </c>
      <c r="E23" s="58"/>
      <c r="F23" s="59">
        <f t="shared" si="0"/>
        <v>0</v>
      </c>
      <c r="G23" s="78"/>
      <c r="H23" s="34"/>
      <c r="I23" s="34"/>
      <c r="J23" s="34"/>
      <c r="K23" s="34"/>
      <c r="L23" s="34"/>
      <c r="M23" s="34"/>
      <c r="N23" s="39"/>
      <c r="Q23"/>
      <c r="AE23" s="101"/>
      <c r="AF23" s="36"/>
    </row>
    <row r="24" spans="1:34" hidden="1" outlineLevel="1" x14ac:dyDescent="0.25">
      <c r="A24" s="36"/>
      <c r="B24" s="105"/>
      <c r="C24" s="76"/>
      <c r="D24" s="77"/>
      <c r="E24" s="58"/>
      <c r="F24" s="59"/>
      <c r="G24" s="39"/>
      <c r="H24" s="34"/>
      <c r="I24" s="34"/>
      <c r="J24" s="34"/>
      <c r="K24" s="34"/>
      <c r="L24" s="34"/>
      <c r="M24" s="34"/>
      <c r="N24" s="39"/>
      <c r="Q24"/>
      <c r="AE24" s="101"/>
      <c r="AF24" s="36"/>
    </row>
    <row r="25" spans="1:34" collapsed="1" x14ac:dyDescent="0.25">
      <c r="A25" s="36"/>
      <c r="B25" s="103" t="s">
        <v>33</v>
      </c>
      <c r="C25" s="76"/>
      <c r="D25" s="77">
        <f>'Calc.'!G55</f>
        <v>7254.232</v>
      </c>
      <c r="E25" s="58"/>
      <c r="F25" s="59">
        <f t="shared" si="0"/>
        <v>0</v>
      </c>
      <c r="G25" s="39"/>
      <c r="H25" s="34"/>
      <c r="I25" s="34"/>
      <c r="J25" s="34"/>
      <c r="K25" s="34"/>
      <c r="L25" s="34"/>
      <c r="M25" s="34"/>
      <c r="N25" s="39"/>
      <c r="Q25"/>
      <c r="AE25" s="101"/>
      <c r="AF25" s="36"/>
    </row>
    <row r="26" spans="1:34" x14ac:dyDescent="0.25">
      <c r="A26" s="36"/>
      <c r="B26" s="105" t="s">
        <v>34</v>
      </c>
      <c r="C26" s="76"/>
      <c r="D26" s="77">
        <f>'Calc.'!G61</f>
        <v>189.86</v>
      </c>
      <c r="E26" s="58"/>
      <c r="F26" s="59">
        <f t="shared" si="0"/>
        <v>0</v>
      </c>
      <c r="G26" s="39"/>
      <c r="H26" s="34"/>
      <c r="I26" s="34"/>
      <c r="J26" s="34"/>
      <c r="K26" s="34"/>
      <c r="L26" s="34"/>
      <c r="M26" s="34"/>
      <c r="N26" s="39"/>
      <c r="Q26"/>
      <c r="AE26" s="101"/>
      <c r="AF26" s="36"/>
    </row>
    <row r="27" spans="1:34" x14ac:dyDescent="0.25">
      <c r="A27" s="36"/>
      <c r="B27" s="105" t="s">
        <v>35</v>
      </c>
      <c r="C27" s="76"/>
      <c r="D27" s="77">
        <f>'Calc.'!G67</f>
        <v>255.12999999999997</v>
      </c>
      <c r="E27" s="58"/>
      <c r="F27" s="59">
        <f t="shared" si="0"/>
        <v>0</v>
      </c>
      <c r="G27" s="39"/>
      <c r="H27" s="34"/>
      <c r="I27" s="34"/>
      <c r="J27" s="34"/>
      <c r="K27" s="34"/>
      <c r="L27" s="34"/>
      <c r="M27" s="34"/>
      <c r="N27" s="39"/>
      <c r="Q27"/>
      <c r="AE27" s="101"/>
      <c r="AF27" s="36"/>
    </row>
    <row r="28" spans="1:34" x14ac:dyDescent="0.25">
      <c r="A28" s="36"/>
      <c r="B28" s="105"/>
      <c r="C28" s="76"/>
      <c r="D28" s="77"/>
      <c r="E28" s="58"/>
      <c r="F28" s="59"/>
      <c r="G28" s="39"/>
      <c r="H28" s="80"/>
      <c r="I28" s="80"/>
      <c r="J28" s="80"/>
      <c r="K28" s="80"/>
      <c r="L28" s="34"/>
      <c r="M28" s="34"/>
      <c r="N28" s="39"/>
      <c r="Q28"/>
      <c r="AE28" s="101"/>
      <c r="AF28" s="36"/>
    </row>
    <row r="29" spans="1:34" x14ac:dyDescent="0.25">
      <c r="A29" s="36"/>
      <c r="B29" s="103" t="s">
        <v>36</v>
      </c>
      <c r="C29" s="76"/>
      <c r="D29" s="77">
        <f>'Calc.'!G77</f>
        <v>861.4842799999999</v>
      </c>
      <c r="E29" s="58"/>
      <c r="F29" s="59">
        <f>(E29*D29)</f>
        <v>0</v>
      </c>
      <c r="G29" s="39"/>
      <c r="H29" s="80"/>
      <c r="I29" s="80"/>
      <c r="J29" s="80"/>
      <c r="K29" s="80"/>
      <c r="L29" s="34"/>
      <c r="M29" s="34"/>
      <c r="N29" s="39"/>
      <c r="Q29"/>
      <c r="AE29" s="101"/>
      <c r="AF29" s="36"/>
    </row>
    <row r="30" spans="1:34" ht="13.8" thickBot="1" x14ac:dyDescent="0.3">
      <c r="A30" s="36"/>
      <c r="B30" s="66"/>
      <c r="C30" s="66"/>
      <c r="D30" s="67"/>
      <c r="E30" s="81"/>
      <c r="F30" s="82">
        <f>SUM(F22:F29)</f>
        <v>0</v>
      </c>
      <c r="G30" s="255"/>
      <c r="H30" s="260"/>
      <c r="I30" s="260"/>
      <c r="J30" s="260"/>
      <c r="K30" s="260"/>
      <c r="L30" s="34"/>
      <c r="M30" s="34"/>
      <c r="N30" s="39"/>
      <c r="Q30"/>
      <c r="AE30" s="101"/>
      <c r="AF30" s="36"/>
    </row>
    <row r="31" spans="1:34" ht="13.8" thickBot="1" x14ac:dyDescent="0.3">
      <c r="A31" s="36"/>
      <c r="B31" s="83"/>
      <c r="C31" s="76"/>
      <c r="D31" s="77"/>
      <c r="E31" s="34"/>
      <c r="F31" s="84"/>
      <c r="G31" s="255"/>
      <c r="H31" s="34"/>
      <c r="I31" s="34"/>
      <c r="J31" s="34"/>
      <c r="K31" s="34"/>
      <c r="L31" s="34"/>
      <c r="M31" s="34"/>
      <c r="N31" s="34"/>
      <c r="Q31"/>
      <c r="AE31" s="101"/>
      <c r="AF31" s="36"/>
    </row>
    <row r="32" spans="1:34" s="2" customFormat="1" ht="13.8" x14ac:dyDescent="0.25">
      <c r="A32" s="39"/>
      <c r="B32" s="43" t="s">
        <v>37</v>
      </c>
      <c r="C32" s="44"/>
      <c r="D32" s="70"/>
      <c r="E32" s="45"/>
      <c r="F32" s="46"/>
      <c r="G32" s="39"/>
      <c r="H32" s="39"/>
      <c r="I32" s="39"/>
      <c r="J32" s="39"/>
      <c r="K32" s="39"/>
      <c r="L32" s="39"/>
      <c r="M32" s="39"/>
      <c r="N32" s="39"/>
      <c r="O32" s="233"/>
      <c r="Q32"/>
      <c r="AE32" s="101"/>
      <c r="AF32" s="39"/>
      <c r="AG32"/>
      <c r="AH32"/>
    </row>
    <row r="33" spans="1:34" s="2" customFormat="1" ht="13.8" thickBot="1" x14ac:dyDescent="0.3">
      <c r="A33" s="39"/>
      <c r="B33" s="71" t="s">
        <v>17</v>
      </c>
      <c r="C33" s="72"/>
      <c r="D33" s="73" t="s">
        <v>18</v>
      </c>
      <c r="E33" s="74"/>
      <c r="F33" s="75" t="s">
        <v>20</v>
      </c>
      <c r="G33" s="39"/>
      <c r="H33" s="39"/>
      <c r="I33" s="39"/>
      <c r="J33" s="39"/>
      <c r="K33" s="39"/>
      <c r="L33" s="39"/>
      <c r="M33" s="39"/>
      <c r="N33" s="39"/>
      <c r="O33" s="233"/>
      <c r="Q33"/>
      <c r="AE33" s="101"/>
      <c r="AF33" s="39"/>
      <c r="AG33"/>
      <c r="AH33"/>
    </row>
    <row r="34" spans="1:34" x14ac:dyDescent="0.25">
      <c r="A34" s="111"/>
      <c r="B34" s="52" t="s">
        <v>38</v>
      </c>
      <c r="C34" s="60"/>
      <c r="D34" s="61"/>
      <c r="E34" s="62"/>
      <c r="F34" s="63"/>
      <c r="G34" s="78"/>
      <c r="H34" s="34"/>
      <c r="I34" s="34"/>
      <c r="J34" s="34"/>
      <c r="K34" s="34"/>
      <c r="L34" s="34"/>
      <c r="M34" s="34"/>
      <c r="N34" s="34"/>
      <c r="Q34"/>
      <c r="AE34" s="101"/>
      <c r="AF34" s="36"/>
    </row>
    <row r="35" spans="1:34" x14ac:dyDescent="0.25">
      <c r="A35" s="111"/>
      <c r="B35" s="105" t="s">
        <v>39</v>
      </c>
      <c r="C35" s="76"/>
      <c r="D35" s="136">
        <f>'Calc.'!G85</f>
        <v>1157.0079999999998</v>
      </c>
      <c r="E35" s="79"/>
      <c r="F35" s="59">
        <f t="shared" ref="F35:F46" si="1">E35*D35</f>
        <v>0</v>
      </c>
      <c r="G35" s="78"/>
      <c r="H35" s="34"/>
      <c r="I35" s="34"/>
      <c r="J35" s="34"/>
      <c r="K35" s="34"/>
      <c r="L35" s="34"/>
      <c r="M35" s="34"/>
      <c r="N35" s="34"/>
      <c r="Q35"/>
      <c r="AE35" s="101"/>
      <c r="AF35" s="36"/>
    </row>
    <row r="36" spans="1:34" x14ac:dyDescent="0.25">
      <c r="A36" s="111"/>
      <c r="B36" s="105" t="s">
        <v>40</v>
      </c>
      <c r="C36" s="76"/>
      <c r="D36" s="136">
        <f>'Calc.'!G96</f>
        <v>898.75</v>
      </c>
      <c r="E36" s="79"/>
      <c r="F36" s="59">
        <f t="shared" si="1"/>
        <v>0</v>
      </c>
      <c r="G36" s="78"/>
      <c r="H36" s="34"/>
      <c r="I36" s="34"/>
      <c r="J36" s="34"/>
      <c r="K36" s="34"/>
      <c r="L36" s="34"/>
      <c r="M36" s="34"/>
      <c r="N36" s="34"/>
      <c r="Q36"/>
      <c r="AE36" s="101"/>
      <c r="AF36" s="36"/>
    </row>
    <row r="37" spans="1:34" x14ac:dyDescent="0.25">
      <c r="A37" s="111"/>
      <c r="B37" s="105" t="s">
        <v>41</v>
      </c>
      <c r="C37" s="76"/>
      <c r="D37" s="136">
        <f>'Calc.'!G105</f>
        <v>892.67</v>
      </c>
      <c r="E37" s="79"/>
      <c r="F37" s="59">
        <f t="shared" si="1"/>
        <v>0</v>
      </c>
      <c r="G37" s="78"/>
      <c r="H37" s="34"/>
      <c r="I37" s="34"/>
      <c r="J37" s="34"/>
      <c r="K37" s="34"/>
      <c r="L37" s="34"/>
      <c r="M37" s="34"/>
      <c r="N37" s="34"/>
      <c r="Q37"/>
      <c r="AE37" s="101"/>
      <c r="AF37" s="36"/>
    </row>
    <row r="38" spans="1:34" x14ac:dyDescent="0.25">
      <c r="A38" s="111"/>
      <c r="B38" s="105" t="s">
        <v>42</v>
      </c>
      <c r="C38" s="76"/>
      <c r="D38" s="136">
        <f>'Calc.'!G115</f>
        <v>1122.3439999999998</v>
      </c>
      <c r="E38" s="79"/>
      <c r="F38" s="59">
        <f t="shared" si="1"/>
        <v>0</v>
      </c>
      <c r="G38" s="78"/>
      <c r="H38" s="34"/>
      <c r="I38" s="34"/>
      <c r="J38" s="34"/>
      <c r="K38" s="34"/>
      <c r="L38" s="34"/>
      <c r="M38" s="34"/>
      <c r="N38" s="34"/>
      <c r="Q38"/>
      <c r="AE38" s="101"/>
      <c r="AF38" s="36"/>
    </row>
    <row r="39" spans="1:34" x14ac:dyDescent="0.25">
      <c r="A39" s="111"/>
      <c r="B39" s="105" t="s">
        <v>43</v>
      </c>
      <c r="C39" s="76"/>
      <c r="D39" s="136">
        <f>'Calc.'!G127</f>
        <v>800.07799999999986</v>
      </c>
      <c r="E39" s="79"/>
      <c r="F39" s="59">
        <f t="shared" si="1"/>
        <v>0</v>
      </c>
      <c r="G39" s="78"/>
      <c r="H39" s="34"/>
      <c r="I39" s="34"/>
      <c r="J39" s="34"/>
      <c r="K39" s="34"/>
      <c r="L39" s="34"/>
      <c r="M39" s="34"/>
      <c r="N39" s="34"/>
      <c r="Q39"/>
      <c r="AE39" s="101"/>
      <c r="AF39" s="36"/>
    </row>
    <row r="40" spans="1:34" x14ac:dyDescent="0.25">
      <c r="A40" s="111"/>
      <c r="B40" s="105" t="s">
        <v>44</v>
      </c>
      <c r="C40" s="76"/>
      <c r="D40" s="136">
        <f>'Calc.'!G137</f>
        <v>563.86908799999992</v>
      </c>
      <c r="E40" s="79"/>
      <c r="F40" s="59">
        <f t="shared" si="1"/>
        <v>0</v>
      </c>
      <c r="G40" s="78"/>
      <c r="H40" s="34"/>
      <c r="I40" s="34"/>
      <c r="J40" s="34"/>
      <c r="K40" s="34"/>
      <c r="L40" s="34"/>
      <c r="M40" s="34"/>
      <c r="N40" s="34"/>
      <c r="Q40"/>
      <c r="AE40" s="101"/>
      <c r="AF40" s="36"/>
    </row>
    <row r="41" spans="1:34" x14ac:dyDescent="0.25">
      <c r="A41" s="111"/>
      <c r="B41" s="83" t="s">
        <v>45</v>
      </c>
      <c r="C41" s="76"/>
      <c r="D41" s="136">
        <f>'Calc.'!G145</f>
        <v>906.82799999999997</v>
      </c>
      <c r="E41" s="79"/>
      <c r="F41" s="59">
        <f t="shared" si="1"/>
        <v>0</v>
      </c>
      <c r="G41" s="78"/>
      <c r="H41" s="34"/>
      <c r="I41" s="34"/>
      <c r="J41" s="34"/>
      <c r="K41" s="34"/>
      <c r="L41" s="34"/>
      <c r="M41" s="34"/>
      <c r="N41" s="34"/>
      <c r="Q41"/>
      <c r="AE41" s="101"/>
      <c r="AF41" s="36"/>
    </row>
    <row r="42" spans="1:34" x14ac:dyDescent="0.25">
      <c r="A42" s="111"/>
      <c r="B42" s="129" t="s">
        <v>46</v>
      </c>
      <c r="C42" s="76"/>
      <c r="D42" s="136">
        <f>'Calc.'!G151</f>
        <v>321.54599999999994</v>
      </c>
      <c r="E42" s="79"/>
      <c r="F42" s="59">
        <f t="shared" si="1"/>
        <v>0</v>
      </c>
      <c r="G42" s="78"/>
      <c r="H42" s="34"/>
      <c r="I42" s="34"/>
      <c r="J42" s="34"/>
      <c r="K42" s="34"/>
      <c r="L42" s="34"/>
      <c r="M42" s="34"/>
      <c r="N42" s="34"/>
      <c r="Q42"/>
      <c r="AE42" s="101"/>
      <c r="AF42" s="36"/>
    </row>
    <row r="43" spans="1:34" x14ac:dyDescent="0.25">
      <c r="A43" s="111"/>
      <c r="B43" s="103" t="s">
        <v>47</v>
      </c>
      <c r="C43" s="76"/>
      <c r="D43" s="136">
        <f>'Calc.'!G157</f>
        <v>279</v>
      </c>
      <c r="E43" s="79"/>
      <c r="F43" s="59">
        <f t="shared" si="1"/>
        <v>0</v>
      </c>
      <c r="G43" s="78"/>
      <c r="H43" s="34"/>
      <c r="I43" s="34"/>
      <c r="J43" s="34"/>
      <c r="K43" s="34"/>
      <c r="L43" s="34"/>
      <c r="M43" s="34"/>
      <c r="N43" s="34"/>
      <c r="Q43"/>
      <c r="AE43" s="101"/>
      <c r="AF43" s="36"/>
    </row>
    <row r="44" spans="1:34" x14ac:dyDescent="0.25">
      <c r="A44" s="111"/>
      <c r="B44" s="105" t="s">
        <v>48</v>
      </c>
      <c r="C44" s="76"/>
      <c r="D44" s="136">
        <f>'Calc.'!G163</f>
        <v>1267.8819999999998</v>
      </c>
      <c r="E44" s="79"/>
      <c r="F44" s="59">
        <f t="shared" si="1"/>
        <v>0</v>
      </c>
      <c r="G44" s="78"/>
      <c r="H44" s="34"/>
      <c r="I44" s="34"/>
      <c r="J44" s="34"/>
      <c r="K44" s="34"/>
      <c r="L44" s="34"/>
      <c r="M44" s="34"/>
      <c r="N44" s="34"/>
      <c r="Q44"/>
      <c r="AE44" s="101"/>
      <c r="AF44" s="36"/>
    </row>
    <row r="45" spans="1:34" x14ac:dyDescent="0.25">
      <c r="A45" s="111"/>
      <c r="B45" s="105" t="s">
        <v>49</v>
      </c>
      <c r="C45" s="76"/>
      <c r="D45" s="136">
        <f>'Calc.'!G169</f>
        <v>40.783999999999999</v>
      </c>
      <c r="E45" s="79"/>
      <c r="F45" s="59">
        <f t="shared" si="1"/>
        <v>0</v>
      </c>
      <c r="G45" s="78"/>
      <c r="H45" s="34"/>
      <c r="I45" s="34"/>
      <c r="J45" s="34"/>
      <c r="K45" s="34"/>
      <c r="L45" s="34"/>
      <c r="M45" s="34"/>
      <c r="N45" s="34"/>
      <c r="Q45"/>
      <c r="AE45" s="101"/>
      <c r="AF45" s="36"/>
    </row>
    <row r="46" spans="1:34" x14ac:dyDescent="0.25">
      <c r="A46" s="111"/>
      <c r="B46" s="105" t="s">
        <v>50</v>
      </c>
      <c r="C46" s="76"/>
      <c r="D46" s="136">
        <f>'Calc.'!G232</f>
        <v>858.97199999999998</v>
      </c>
      <c r="E46" s="79"/>
      <c r="F46" s="59">
        <f t="shared" si="1"/>
        <v>0</v>
      </c>
      <c r="G46" s="78"/>
      <c r="H46" s="34"/>
      <c r="I46" s="34"/>
      <c r="J46" s="34"/>
      <c r="K46" s="34"/>
      <c r="L46" s="34"/>
      <c r="M46" s="34"/>
      <c r="N46" s="85"/>
      <c r="Q46"/>
      <c r="AE46" s="101"/>
      <c r="AF46" s="36"/>
    </row>
    <row r="47" spans="1:34" s="2" customFormat="1" x14ac:dyDescent="0.25">
      <c r="A47" s="39"/>
      <c r="B47" s="83" t="s">
        <v>51</v>
      </c>
      <c r="C47" s="76"/>
      <c r="D47" s="77"/>
      <c r="E47" s="262"/>
      <c r="F47" s="84"/>
      <c r="G47" s="78"/>
      <c r="H47" s="39"/>
      <c r="I47" s="39"/>
      <c r="J47" s="39"/>
      <c r="K47" s="39"/>
      <c r="L47" s="39"/>
      <c r="M47" s="39"/>
      <c r="N47" s="39"/>
      <c r="O47" s="233"/>
      <c r="Q47"/>
      <c r="AE47" s="101"/>
      <c r="AF47" s="39"/>
      <c r="AG47"/>
      <c r="AH47"/>
    </row>
    <row r="48" spans="1:34" x14ac:dyDescent="0.25">
      <c r="A48" s="111"/>
      <c r="B48" s="52" t="s">
        <v>52</v>
      </c>
      <c r="C48" s="60"/>
      <c r="D48" s="61"/>
      <c r="E48" s="62"/>
      <c r="F48" s="63"/>
      <c r="G48" s="78"/>
      <c r="H48" s="34"/>
      <c r="I48" s="34"/>
      <c r="J48" s="34"/>
      <c r="K48" s="34"/>
      <c r="L48" s="260"/>
      <c r="M48" s="34"/>
      <c r="N48" s="34"/>
      <c r="Q48"/>
      <c r="AE48" s="101"/>
      <c r="AF48" s="36"/>
    </row>
    <row r="49" spans="1:32" x14ac:dyDescent="0.25">
      <c r="A49" s="111"/>
      <c r="B49" s="105" t="s">
        <v>53</v>
      </c>
      <c r="C49" s="76"/>
      <c r="D49" s="136">
        <f>'Calc.'!G175</f>
        <v>465.9</v>
      </c>
      <c r="E49" s="79"/>
      <c r="F49" s="59">
        <f>E49*D49</f>
        <v>0</v>
      </c>
      <c r="G49" s="78"/>
      <c r="H49" s="34"/>
      <c r="I49" s="34"/>
      <c r="J49" s="34"/>
      <c r="K49" s="34"/>
      <c r="L49" s="260"/>
      <c r="M49" s="34"/>
      <c r="N49" s="34"/>
      <c r="Q49"/>
      <c r="AE49" s="101"/>
      <c r="AF49" s="36"/>
    </row>
    <row r="50" spans="1:32" x14ac:dyDescent="0.25">
      <c r="A50" s="111"/>
      <c r="B50" s="83" t="s">
        <v>54</v>
      </c>
      <c r="C50" s="76"/>
      <c r="D50" s="136">
        <f>'Calc.'!G181</f>
        <v>470.37999999999994</v>
      </c>
      <c r="E50" s="79"/>
      <c r="F50" s="59">
        <f>E50*D50</f>
        <v>0</v>
      </c>
      <c r="G50" s="78"/>
      <c r="H50" s="34"/>
      <c r="I50" s="34"/>
      <c r="J50" s="34"/>
      <c r="K50" s="34"/>
      <c r="L50" s="260"/>
      <c r="M50" s="34"/>
      <c r="N50" s="34"/>
      <c r="Q50"/>
      <c r="AE50" s="101"/>
      <c r="AF50" s="36"/>
    </row>
    <row r="51" spans="1:32" x14ac:dyDescent="0.25">
      <c r="A51" s="111"/>
      <c r="B51" s="83" t="s">
        <v>55</v>
      </c>
      <c r="C51" s="76"/>
      <c r="D51" s="136">
        <f>'Calc.'!G187</f>
        <v>77.41</v>
      </c>
      <c r="E51" s="79"/>
      <c r="F51" s="59">
        <f>E51*D51</f>
        <v>0</v>
      </c>
      <c r="G51" s="78"/>
      <c r="H51" s="34"/>
      <c r="I51" s="34"/>
      <c r="J51" s="34"/>
      <c r="K51" s="34"/>
      <c r="L51" s="260"/>
      <c r="M51" s="34"/>
      <c r="N51" s="34"/>
      <c r="Q51"/>
      <c r="AE51" s="101"/>
      <c r="AF51" s="36"/>
    </row>
    <row r="52" spans="1:32" x14ac:dyDescent="0.25">
      <c r="A52" s="111"/>
      <c r="B52" s="105" t="s">
        <v>56</v>
      </c>
      <c r="C52" s="76"/>
      <c r="D52" s="136">
        <f>'Calc.'!G193</f>
        <v>576.9</v>
      </c>
      <c r="E52" s="79"/>
      <c r="F52" s="59">
        <f>E52*D52</f>
        <v>0</v>
      </c>
      <c r="G52" s="78"/>
      <c r="H52" s="34"/>
      <c r="I52" s="34"/>
      <c r="J52" s="34"/>
      <c r="K52" s="34"/>
      <c r="L52" s="260"/>
      <c r="M52" s="34"/>
      <c r="N52" s="34"/>
      <c r="Q52"/>
      <c r="AE52" s="101"/>
      <c r="AF52" s="36"/>
    </row>
    <row r="53" spans="1:32" x14ac:dyDescent="0.25">
      <c r="A53" s="111"/>
      <c r="B53" s="181" t="s">
        <v>57</v>
      </c>
      <c r="C53" s="76"/>
      <c r="D53" s="136">
        <f>'Calc.'!G251</f>
        <v>1228.6879999999999</v>
      </c>
      <c r="E53" s="79"/>
      <c r="F53" s="59">
        <f>E53*D53</f>
        <v>0</v>
      </c>
      <c r="G53" s="78"/>
      <c r="H53" s="34"/>
      <c r="I53" s="34"/>
      <c r="J53" s="34"/>
      <c r="K53" s="34"/>
      <c r="L53" s="34"/>
      <c r="M53" s="34"/>
      <c r="N53" s="85"/>
      <c r="Q53"/>
      <c r="AE53" s="36"/>
      <c r="AF53" s="36"/>
    </row>
    <row r="54" spans="1:32" s="2" customFormat="1" x14ac:dyDescent="0.25">
      <c r="A54" s="39"/>
      <c r="B54" s="83" t="s">
        <v>58</v>
      </c>
      <c r="C54" s="76"/>
      <c r="D54" s="76"/>
      <c r="E54" s="262"/>
      <c r="F54" s="84"/>
      <c r="G54" s="78"/>
      <c r="H54" s="39"/>
      <c r="I54" s="39"/>
      <c r="J54" s="39"/>
      <c r="K54" s="39"/>
      <c r="L54" s="39"/>
      <c r="M54" s="39"/>
      <c r="N54" s="39"/>
      <c r="O54" s="233"/>
      <c r="Q54"/>
      <c r="AE54" s="39"/>
      <c r="AF54" s="39"/>
    </row>
    <row r="55" spans="1:32" x14ac:dyDescent="0.25">
      <c r="A55" s="111"/>
      <c r="B55" s="52" t="s">
        <v>59</v>
      </c>
      <c r="C55" s="60"/>
      <c r="D55" s="61"/>
      <c r="E55" s="62"/>
      <c r="F55" s="63"/>
      <c r="G55" s="78"/>
      <c r="H55" s="34"/>
      <c r="I55" s="34"/>
      <c r="J55" s="34"/>
      <c r="K55" s="34"/>
      <c r="L55" s="34"/>
      <c r="M55" s="34"/>
      <c r="N55" s="34"/>
      <c r="Q55"/>
      <c r="AE55" s="36"/>
      <c r="AF55" s="36"/>
    </row>
    <row r="56" spans="1:32" x14ac:dyDescent="0.25">
      <c r="A56" s="111"/>
      <c r="B56" s="129" t="s">
        <v>60</v>
      </c>
      <c r="C56" s="76"/>
      <c r="D56" s="77">
        <f>'Calc.'!G199</f>
        <v>270.27999999999997</v>
      </c>
      <c r="E56" s="79"/>
      <c r="F56" s="59">
        <f>E56*D56</f>
        <v>0</v>
      </c>
      <c r="G56" s="78"/>
      <c r="H56" s="34"/>
      <c r="I56" s="34"/>
      <c r="J56" s="34"/>
      <c r="K56" s="34"/>
      <c r="L56" s="34"/>
      <c r="M56" s="34"/>
      <c r="N56" s="34"/>
      <c r="Q56"/>
      <c r="AE56" s="36"/>
    </row>
    <row r="57" spans="1:32" x14ac:dyDescent="0.25">
      <c r="A57" s="111"/>
      <c r="B57" s="103" t="s">
        <v>61</v>
      </c>
      <c r="C57" s="76"/>
      <c r="D57" s="77">
        <f>'Calc.'!G205</f>
        <v>286.52</v>
      </c>
      <c r="E57" s="79"/>
      <c r="F57" s="59">
        <f>E57*D57</f>
        <v>0</v>
      </c>
      <c r="G57" s="78"/>
      <c r="H57" s="34"/>
      <c r="I57" s="34"/>
      <c r="J57" s="34"/>
      <c r="K57" s="34"/>
      <c r="L57" s="34"/>
      <c r="M57" s="34"/>
      <c r="N57" s="34"/>
      <c r="Q57"/>
      <c r="AE57" s="36"/>
    </row>
    <row r="58" spans="1:32" x14ac:dyDescent="0.25">
      <c r="A58" s="111"/>
      <c r="B58" s="129" t="s">
        <v>62</v>
      </c>
      <c r="C58" s="76"/>
      <c r="D58" s="77">
        <f>'Calc.'!G239</f>
        <v>721.72</v>
      </c>
      <c r="E58" s="79"/>
      <c r="F58" s="59">
        <f t="shared" ref="F58:F60" si="2">E58*D58</f>
        <v>0</v>
      </c>
      <c r="G58" s="78"/>
      <c r="H58" s="34"/>
      <c r="I58" s="34"/>
      <c r="J58" s="34"/>
      <c r="K58" s="34"/>
      <c r="L58" s="34"/>
      <c r="M58" s="34"/>
      <c r="N58" s="34"/>
      <c r="Q58"/>
      <c r="AE58" s="36"/>
    </row>
    <row r="59" spans="1:32" x14ac:dyDescent="0.25">
      <c r="A59" s="111"/>
      <c r="B59" s="103" t="s">
        <v>63</v>
      </c>
      <c r="C59" s="76"/>
      <c r="D59" s="77">
        <f>'Calc.'!G245</f>
        <v>774.92</v>
      </c>
      <c r="E59" s="79"/>
      <c r="F59" s="59">
        <f t="shared" si="2"/>
        <v>0</v>
      </c>
      <c r="G59" s="78"/>
      <c r="H59" s="34"/>
      <c r="I59" s="34"/>
      <c r="J59" s="34"/>
      <c r="K59" s="34"/>
      <c r="L59" s="260"/>
      <c r="M59" s="34"/>
      <c r="N59" s="34"/>
      <c r="Q59"/>
      <c r="AE59" s="36"/>
      <c r="AF59" s="36"/>
    </row>
    <row r="60" spans="1:32" x14ac:dyDescent="0.25">
      <c r="A60" s="111"/>
      <c r="B60" s="83" t="s">
        <v>64</v>
      </c>
      <c r="C60" s="76"/>
      <c r="D60" s="77">
        <f>'Calc.'!G260</f>
        <v>110.94</v>
      </c>
      <c r="E60" s="79"/>
      <c r="F60" s="59">
        <f t="shared" si="2"/>
        <v>0</v>
      </c>
      <c r="G60" s="78"/>
      <c r="H60" s="34"/>
      <c r="I60" s="34"/>
      <c r="J60" s="34"/>
      <c r="K60" s="34"/>
      <c r="L60" s="260"/>
      <c r="M60" s="34"/>
      <c r="N60" s="34"/>
      <c r="Q60"/>
      <c r="AE60" s="36"/>
      <c r="AF60" s="36"/>
    </row>
    <row r="61" spans="1:32" x14ac:dyDescent="0.25">
      <c r="A61" s="111"/>
      <c r="B61" s="83" t="s">
        <v>65</v>
      </c>
      <c r="C61" s="76"/>
      <c r="D61" s="77">
        <v>425.27</v>
      </c>
      <c r="E61" s="79"/>
      <c r="F61" s="59">
        <f>E61*D61</f>
        <v>0</v>
      </c>
      <c r="G61" s="78"/>
      <c r="H61" s="86"/>
      <c r="I61" s="86"/>
      <c r="J61" s="86"/>
      <c r="K61" s="86"/>
      <c r="L61" s="34"/>
      <c r="M61" s="34"/>
      <c r="N61" s="34"/>
      <c r="Q61"/>
      <c r="AE61" s="36"/>
      <c r="AF61" s="36"/>
    </row>
    <row r="62" spans="1:32" x14ac:dyDescent="0.25">
      <c r="A62" s="111"/>
      <c r="B62" s="105" t="s">
        <v>66</v>
      </c>
      <c r="C62" s="77"/>
      <c r="D62" s="77">
        <v>203.4</v>
      </c>
      <c r="E62" s="79"/>
      <c r="F62" s="59">
        <f>E62*D62</f>
        <v>0</v>
      </c>
      <c r="G62" s="39"/>
      <c r="H62" s="34"/>
      <c r="I62" s="34"/>
      <c r="J62" s="34"/>
      <c r="K62" s="34"/>
      <c r="L62" s="260"/>
      <c r="M62" s="34"/>
      <c r="N62" s="85"/>
      <c r="Q62"/>
      <c r="AE62" s="36"/>
      <c r="AF62" s="36"/>
    </row>
    <row r="63" spans="1:32" x14ac:dyDescent="0.25">
      <c r="A63" s="36"/>
      <c r="B63" s="83" t="s">
        <v>67</v>
      </c>
      <c r="C63" s="76"/>
      <c r="D63" s="77"/>
      <c r="E63" s="262"/>
      <c r="F63" s="84"/>
      <c r="G63" s="78"/>
      <c r="H63" s="34"/>
      <c r="I63" s="34"/>
      <c r="J63" s="34"/>
      <c r="K63" s="34"/>
      <c r="L63" s="34"/>
      <c r="M63" s="34"/>
      <c r="N63" s="34"/>
      <c r="P63" s="254">
        <f>F19+F30+F64+Sheet1!D8-Sheet1!F8</f>
        <v>0</v>
      </c>
      <c r="Q63"/>
      <c r="AE63" s="36"/>
      <c r="AF63" s="36"/>
    </row>
    <row r="64" spans="1:32" ht="13.8" thickBot="1" x14ac:dyDescent="0.3">
      <c r="A64" s="36"/>
      <c r="B64" s="65"/>
      <c r="C64" s="66"/>
      <c r="D64" s="67"/>
      <c r="E64" s="81"/>
      <c r="F64" s="69">
        <f>SUM(F34:F63)</f>
        <v>0</v>
      </c>
      <c r="G64" s="39"/>
      <c r="H64" s="34"/>
      <c r="I64" s="34"/>
      <c r="J64" s="34"/>
      <c r="K64" s="34"/>
      <c r="L64" s="34"/>
      <c r="M64" s="34"/>
      <c r="N64" s="34"/>
      <c r="Q64"/>
      <c r="AE64" s="36"/>
      <c r="AF64" s="36"/>
    </row>
    <row r="65" spans="1:32" s="2" customFormat="1" ht="13.8" x14ac:dyDescent="0.25">
      <c r="A65" s="39"/>
      <c r="B65" s="43" t="s">
        <v>68</v>
      </c>
      <c r="C65" s="44"/>
      <c r="D65" s="70"/>
      <c r="E65" s="45"/>
      <c r="F65" s="46"/>
      <c r="G65" s="39"/>
      <c r="H65" s="39"/>
      <c r="I65" s="39"/>
      <c r="J65" s="39"/>
      <c r="K65" s="39"/>
      <c r="L65" s="39"/>
      <c r="M65" s="39"/>
      <c r="N65" s="39"/>
      <c r="O65" s="233"/>
      <c r="Q65"/>
      <c r="AE65" s="39"/>
      <c r="AF65" s="39"/>
    </row>
    <row r="66" spans="1:32" ht="13.8" thickBot="1" x14ac:dyDescent="0.3">
      <c r="A66" s="36"/>
      <c r="B66" s="71" t="s">
        <v>69</v>
      </c>
      <c r="C66" s="72"/>
      <c r="D66" s="73" t="s">
        <v>18</v>
      </c>
      <c r="E66" s="74"/>
      <c r="F66" s="75" t="s">
        <v>20</v>
      </c>
      <c r="G66" s="39"/>
      <c r="H66" s="34"/>
      <c r="I66" s="34"/>
      <c r="J66" s="34"/>
      <c r="K66" s="34"/>
      <c r="L66" s="34"/>
      <c r="M66" s="34"/>
      <c r="N66" s="34"/>
      <c r="Q66"/>
      <c r="U66" s="15"/>
      <c r="AE66" s="36"/>
      <c r="AF66" s="36"/>
    </row>
    <row r="67" spans="1:32" x14ac:dyDescent="0.25">
      <c r="A67" s="36"/>
      <c r="B67" s="105" t="s">
        <v>70</v>
      </c>
      <c r="C67" s="76"/>
      <c r="D67" s="77">
        <f>(4+13.5)*90</f>
        <v>1575</v>
      </c>
      <c r="E67" s="87">
        <v>1</v>
      </c>
      <c r="F67" s="59">
        <f t="shared" ref="F67:F79" si="3">E67*D67</f>
        <v>1575</v>
      </c>
      <c r="G67" s="39"/>
      <c r="H67" s="34"/>
      <c r="I67" s="34"/>
      <c r="J67" s="34"/>
      <c r="K67" s="34"/>
      <c r="L67" s="34"/>
      <c r="M67" s="34"/>
      <c r="N67" s="34"/>
      <c r="Q67"/>
      <c r="U67" s="15"/>
      <c r="AE67" s="36"/>
      <c r="AF67" s="36"/>
    </row>
    <row r="68" spans="1:32" x14ac:dyDescent="0.25">
      <c r="A68" s="36"/>
      <c r="B68" s="105" t="s">
        <v>71</v>
      </c>
      <c r="C68" s="76"/>
      <c r="D68" s="77">
        <v>90</v>
      </c>
      <c r="E68" s="104"/>
      <c r="F68" s="59">
        <f t="shared" si="3"/>
        <v>0</v>
      </c>
      <c r="G68" s="39"/>
      <c r="H68" s="34"/>
      <c r="I68" s="34"/>
      <c r="J68" s="34"/>
      <c r="K68" s="34"/>
      <c r="L68" s="34"/>
      <c r="M68" s="34"/>
      <c r="N68" s="34"/>
      <c r="S68" s="15" t="s">
        <v>72</v>
      </c>
      <c r="U68" s="15"/>
      <c r="AE68" s="36"/>
      <c r="AF68" s="36"/>
    </row>
    <row r="69" spans="1:32" x14ac:dyDescent="0.25">
      <c r="A69" s="36"/>
      <c r="B69" s="105" t="s">
        <v>73</v>
      </c>
      <c r="C69" s="76"/>
      <c r="D69" s="77">
        <v>3004.71</v>
      </c>
      <c r="E69" s="88"/>
      <c r="F69" s="59">
        <f t="shared" si="3"/>
        <v>0</v>
      </c>
      <c r="G69" s="39"/>
      <c r="H69" s="34"/>
      <c r="I69" s="34"/>
      <c r="J69" s="34"/>
      <c r="K69" s="34"/>
      <c r="L69" s="34"/>
      <c r="M69" s="34"/>
      <c r="N69" s="34"/>
      <c r="Q69" s="15"/>
      <c r="U69" s="15"/>
      <c r="AE69" s="36"/>
      <c r="AF69" s="36"/>
    </row>
    <row r="70" spans="1:32" x14ac:dyDescent="0.25">
      <c r="A70" s="36"/>
      <c r="B70" s="105" t="s">
        <v>74</v>
      </c>
      <c r="C70" s="76"/>
      <c r="D70" s="77"/>
      <c r="E70" s="104"/>
      <c r="F70" s="59">
        <f t="shared" si="3"/>
        <v>0</v>
      </c>
      <c r="G70" s="39"/>
      <c r="H70" s="34"/>
      <c r="I70" s="34"/>
      <c r="J70" s="34"/>
      <c r="K70" s="34"/>
      <c r="L70" s="34"/>
      <c r="M70" s="34"/>
      <c r="N70" s="34"/>
      <c r="Q70" s="15"/>
      <c r="U70" s="15"/>
      <c r="AE70" s="36"/>
      <c r="AF70" s="36"/>
    </row>
    <row r="71" spans="1:32" x14ac:dyDescent="0.25">
      <c r="A71" s="36"/>
      <c r="B71" s="105" t="s">
        <v>75</v>
      </c>
      <c r="C71" s="76"/>
      <c r="D71" s="77">
        <v>386.68</v>
      </c>
      <c r="E71" s="104"/>
      <c r="F71" s="59">
        <f t="shared" si="3"/>
        <v>0</v>
      </c>
      <c r="G71" s="39"/>
      <c r="L71" s="34"/>
      <c r="M71" s="34"/>
      <c r="N71" s="34"/>
      <c r="Q71" s="15"/>
      <c r="U71" s="15"/>
      <c r="AE71" s="36"/>
      <c r="AF71" s="36"/>
    </row>
    <row r="72" spans="1:32" x14ac:dyDescent="0.25">
      <c r="A72" s="36"/>
      <c r="B72" s="83" t="s">
        <v>76</v>
      </c>
      <c r="C72" s="76"/>
      <c r="D72" s="77">
        <v>1646.3314638009499</v>
      </c>
      <c r="E72" s="79">
        <v>1</v>
      </c>
      <c r="F72" s="59">
        <f t="shared" si="3"/>
        <v>1646.3314638009499</v>
      </c>
      <c r="G72" s="39"/>
      <c r="H72" s="86"/>
      <c r="I72" s="86"/>
      <c r="J72" s="86"/>
      <c r="K72" s="86"/>
      <c r="L72" s="34"/>
      <c r="M72" s="34"/>
      <c r="N72" s="34"/>
      <c r="S72" s="15" t="s">
        <v>77</v>
      </c>
      <c r="U72" s="15"/>
      <c r="AE72" s="36"/>
      <c r="AF72" s="36"/>
    </row>
    <row r="73" spans="1:32" x14ac:dyDescent="0.25">
      <c r="A73" s="36"/>
      <c r="B73" s="83" t="s">
        <v>78</v>
      </c>
      <c r="C73" s="76"/>
      <c r="D73" s="77">
        <v>335</v>
      </c>
      <c r="E73" s="229">
        <f>IF(E25=0,E47+E54+E63,1+E54+E63)</f>
        <v>0</v>
      </c>
      <c r="F73" s="59">
        <f t="shared" si="3"/>
        <v>0</v>
      </c>
      <c r="G73" s="78"/>
      <c r="H73" s="34"/>
      <c r="I73" s="34"/>
      <c r="J73" s="34"/>
      <c r="K73" s="34"/>
      <c r="L73" s="34"/>
      <c r="M73" s="34"/>
      <c r="N73" s="34"/>
      <c r="Q73" s="15"/>
      <c r="U73" s="15"/>
      <c r="AE73" s="36"/>
      <c r="AF73" s="36"/>
    </row>
    <row r="74" spans="1:32" x14ac:dyDescent="0.25">
      <c r="A74" s="36"/>
      <c r="B74" s="83" t="s">
        <v>79</v>
      </c>
      <c r="C74" s="76"/>
      <c r="D74" s="77">
        <v>150</v>
      </c>
      <c r="E74" s="79">
        <v>1</v>
      </c>
      <c r="F74" s="59">
        <f t="shared" si="3"/>
        <v>150</v>
      </c>
      <c r="G74" s="78"/>
      <c r="H74" s="263"/>
      <c r="I74" s="263"/>
      <c r="J74" s="263"/>
      <c r="K74" s="263"/>
      <c r="L74" s="36"/>
      <c r="M74" s="89"/>
      <c r="N74" s="36"/>
      <c r="Q74" s="15"/>
      <c r="U74" s="15"/>
      <c r="AE74" s="36"/>
      <c r="AF74" s="36"/>
    </row>
    <row r="75" spans="1:32" x14ac:dyDescent="0.25">
      <c r="A75" s="36"/>
      <c r="B75" s="105" t="s">
        <v>80</v>
      </c>
      <c r="C75" s="76"/>
      <c r="D75" s="77">
        <v>90</v>
      </c>
      <c r="E75" s="79">
        <v>3</v>
      </c>
      <c r="F75" s="59">
        <f t="shared" si="3"/>
        <v>270</v>
      </c>
      <c r="G75" s="78"/>
      <c r="H75" s="263"/>
      <c r="I75" s="263"/>
      <c r="J75" s="263"/>
      <c r="K75" s="263"/>
      <c r="L75" s="111"/>
      <c r="M75" s="89"/>
      <c r="N75" s="36"/>
      <c r="P75" s="128" t="s">
        <v>81</v>
      </c>
      <c r="Q75" s="15"/>
      <c r="U75" s="15"/>
      <c r="AE75" s="36"/>
      <c r="AF75" s="36"/>
    </row>
    <row r="76" spans="1:32" x14ac:dyDescent="0.25">
      <c r="A76" s="36"/>
      <c r="B76" s="83" t="s">
        <v>82</v>
      </c>
      <c r="C76" s="76"/>
      <c r="D76" s="77">
        <v>152.63999999999999</v>
      </c>
      <c r="E76" s="79"/>
      <c r="F76" s="59">
        <f t="shared" si="3"/>
        <v>0</v>
      </c>
      <c r="G76" s="39"/>
      <c r="H76" s="263"/>
      <c r="I76" s="263"/>
      <c r="J76" s="263"/>
      <c r="K76" s="263"/>
      <c r="L76" s="36"/>
      <c r="M76" s="89"/>
      <c r="N76" s="36"/>
      <c r="S76" s="15" t="s">
        <v>83</v>
      </c>
      <c r="U76" s="15"/>
      <c r="AE76" s="36"/>
      <c r="AF76" s="36"/>
    </row>
    <row r="77" spans="1:32" x14ac:dyDescent="0.25">
      <c r="A77" s="36"/>
      <c r="B77" s="105" t="s">
        <v>84</v>
      </c>
      <c r="C77" s="76"/>
      <c r="D77" s="77">
        <f>90*1.5</f>
        <v>135</v>
      </c>
      <c r="E77" s="79">
        <v>1</v>
      </c>
      <c r="F77" s="59">
        <f t="shared" si="3"/>
        <v>135</v>
      </c>
      <c r="G77" s="39"/>
      <c r="H77" s="263"/>
      <c r="I77" s="263"/>
      <c r="J77" s="263"/>
      <c r="K77" s="263"/>
      <c r="L77" s="36"/>
      <c r="M77" s="89"/>
      <c r="N77" s="36"/>
      <c r="Q77" s="15"/>
      <c r="U77" s="15"/>
      <c r="AE77" s="36"/>
      <c r="AF77" s="36"/>
    </row>
    <row r="78" spans="1:32" x14ac:dyDescent="0.25">
      <c r="A78" s="36"/>
      <c r="B78" s="105" t="s">
        <v>85</v>
      </c>
      <c r="C78" s="76"/>
      <c r="D78" s="77"/>
      <c r="E78" s="79"/>
      <c r="F78" s="59">
        <f t="shared" si="3"/>
        <v>0</v>
      </c>
      <c r="G78" s="39"/>
      <c r="H78" s="263"/>
      <c r="I78" s="263"/>
      <c r="J78" s="263"/>
      <c r="K78" s="263"/>
      <c r="L78" s="36"/>
      <c r="M78" s="89"/>
      <c r="N78" s="36"/>
      <c r="Q78" s="15"/>
      <c r="AE78" s="36"/>
      <c r="AF78" s="36"/>
    </row>
    <row r="79" spans="1:32" x14ac:dyDescent="0.25">
      <c r="A79" s="36"/>
      <c r="B79" s="105" t="s">
        <v>85</v>
      </c>
      <c r="C79" s="76"/>
      <c r="D79" s="77"/>
      <c r="E79" s="79"/>
      <c r="F79" s="59">
        <f t="shared" si="3"/>
        <v>0</v>
      </c>
      <c r="G79" s="93"/>
      <c r="H79" s="89"/>
      <c r="I79" s="89"/>
      <c r="J79" s="89"/>
      <c r="K79" s="89"/>
      <c r="L79" s="36"/>
      <c r="M79" s="89"/>
      <c r="N79" s="36"/>
      <c r="P79" s="253">
        <f>F80+P63</f>
        <v>3776.3314638009497</v>
      </c>
      <c r="Q79" s="15"/>
      <c r="AE79" s="36"/>
      <c r="AF79" s="36"/>
    </row>
    <row r="80" spans="1:32" ht="13.8" thickBot="1" x14ac:dyDescent="0.3">
      <c r="A80" s="36"/>
      <c r="B80" s="90"/>
      <c r="C80" s="91"/>
      <c r="D80" s="91"/>
      <c r="E80" s="92"/>
      <c r="F80" s="69">
        <f>SUM(F67:F79)</f>
        <v>3776.3314638009497</v>
      </c>
      <c r="G80" s="36"/>
      <c r="H80" s="114"/>
      <c r="I80" s="114"/>
      <c r="J80" s="114"/>
      <c r="K80" s="114"/>
      <c r="L80" s="36"/>
      <c r="M80" s="114"/>
      <c r="N80" s="36"/>
      <c r="Q80" s="15"/>
      <c r="X80" s="115"/>
      <c r="AE80" s="36"/>
      <c r="AF80" s="36"/>
    </row>
    <row r="81" spans="1:34" ht="16.2" thickTop="1" x14ac:dyDescent="0.3">
      <c r="A81" s="36"/>
      <c r="B81" s="272" t="s">
        <v>86</v>
      </c>
      <c r="C81" s="273"/>
      <c r="D81" s="273"/>
      <c r="E81" s="274"/>
      <c r="F81" s="275">
        <f>SUM(F80,F64,F30,F19)</f>
        <v>3776.3314638009497</v>
      </c>
      <c r="G81" s="36"/>
      <c r="H81" s="114"/>
      <c r="I81" s="114"/>
      <c r="J81" s="114"/>
      <c r="K81" s="114"/>
      <c r="L81" s="36"/>
      <c r="M81" s="114"/>
      <c r="N81" s="36"/>
      <c r="Q81"/>
      <c r="X81" s="115"/>
      <c r="AE81" s="36"/>
      <c r="AF81" s="36"/>
    </row>
    <row r="82" spans="1:34" ht="16.2" thickBot="1" x14ac:dyDescent="0.35">
      <c r="A82" s="118"/>
      <c r="B82" s="130"/>
      <c r="C82" s="118"/>
      <c r="D82" s="118"/>
      <c r="E82" s="131"/>
      <c r="F82" s="132"/>
      <c r="G82" s="118"/>
      <c r="H82" s="119"/>
      <c r="I82" s="119"/>
      <c r="J82" s="119"/>
      <c r="K82" s="119"/>
      <c r="L82" s="118"/>
      <c r="M82" s="119"/>
      <c r="N82" s="118"/>
      <c r="O82" s="234"/>
      <c r="P82" s="117"/>
      <c r="Q82" s="116"/>
      <c r="R82" s="117"/>
      <c r="S82" s="117"/>
      <c r="T82" s="117"/>
      <c r="U82" s="117"/>
      <c r="V82" s="117"/>
      <c r="W82" s="116"/>
      <c r="X82" s="116"/>
      <c r="Y82" s="116"/>
      <c r="Z82" s="116"/>
      <c r="AA82" s="116"/>
      <c r="AB82" s="116"/>
      <c r="AC82" s="116"/>
      <c r="AD82" s="116"/>
      <c r="AE82" s="118"/>
      <c r="AF82" s="118"/>
      <c r="AG82" s="116"/>
      <c r="AH82" s="116"/>
    </row>
    <row r="83" spans="1:34" x14ac:dyDescent="0.25">
      <c r="A83" s="36"/>
      <c r="B83" s="39"/>
      <c r="C83" s="36"/>
      <c r="D83" s="36"/>
      <c r="E83" s="34"/>
      <c r="F83" s="35"/>
      <c r="G83" s="36"/>
      <c r="H83" s="119"/>
      <c r="I83" s="239"/>
      <c r="J83" s="239"/>
      <c r="K83" s="239"/>
      <c r="L83" s="121" t="str">
        <f>IF('Calc.'!U292&gt;'Calc.'!V292,"Material","Service")</f>
        <v>Service</v>
      </c>
      <c r="M83" s="122"/>
      <c r="N83" s="123"/>
      <c r="P83"/>
      <c r="Q83"/>
      <c r="T83"/>
      <c r="U83"/>
      <c r="V83"/>
      <c r="X83"/>
    </row>
    <row r="84" spans="1:34" ht="13.8" thickBot="1" x14ac:dyDescent="0.3">
      <c r="A84" s="36"/>
      <c r="B84" s="39"/>
      <c r="C84" s="36"/>
      <c r="D84" s="36"/>
      <c r="E84" s="34"/>
      <c r="F84" s="35"/>
      <c r="G84" s="36"/>
      <c r="H84" s="119"/>
      <c r="I84" s="240"/>
      <c r="J84" s="240"/>
      <c r="K84" s="240"/>
      <c r="L84" s="124">
        <f>IF('Calc.'!U292&gt;'Calc.'!V292,'Calc.'!U292,'Calc.'!V292)</f>
        <v>83.627248058569691</v>
      </c>
      <c r="M84" s="125" t="s">
        <v>87</v>
      </c>
      <c r="N84" s="126"/>
      <c r="P84"/>
      <c r="Q84"/>
      <c r="T84"/>
      <c r="U84"/>
      <c r="V84"/>
      <c r="X84"/>
    </row>
    <row r="85" spans="1:34" x14ac:dyDescent="0.25">
      <c r="B85" s="36"/>
      <c r="C85" s="36"/>
      <c r="D85" s="36"/>
      <c r="E85" s="34"/>
      <c r="F85" s="34"/>
    </row>
    <row r="86" spans="1:34" x14ac:dyDescent="0.25">
      <c r="B86" s="36"/>
      <c r="C86" s="36"/>
      <c r="D86" s="36"/>
      <c r="E86" s="34"/>
      <c r="F86" s="34"/>
    </row>
    <row r="87" spans="1:34" x14ac:dyDescent="0.25">
      <c r="B87" s="36"/>
      <c r="C87" s="36"/>
      <c r="D87" s="36"/>
      <c r="E87" s="34"/>
      <c r="F87" s="34"/>
    </row>
    <row r="88" spans="1:34" x14ac:dyDescent="0.25">
      <c r="B88" s="36"/>
      <c r="C88" s="36"/>
      <c r="D88" s="36"/>
      <c r="E88" s="34"/>
      <c r="F88" s="34"/>
    </row>
    <row r="89" spans="1:34" x14ac:dyDescent="0.25">
      <c r="B89" s="36"/>
      <c r="C89" s="36"/>
      <c r="D89" s="36"/>
      <c r="E89" s="34"/>
      <c r="F89" s="34"/>
    </row>
    <row r="90" spans="1:34" x14ac:dyDescent="0.25">
      <c r="B90" s="36"/>
      <c r="C90" s="36"/>
      <c r="D90" s="36"/>
      <c r="E90" s="34"/>
      <c r="F90" s="34"/>
    </row>
    <row r="91" spans="1:34" x14ac:dyDescent="0.25">
      <c r="B91" s="36"/>
      <c r="C91" s="36"/>
      <c r="D91" s="36"/>
      <c r="E91" s="34"/>
      <c r="F91" s="34"/>
    </row>
    <row r="92" spans="1:34" x14ac:dyDescent="0.25">
      <c r="B92" s="36"/>
      <c r="C92" s="36"/>
      <c r="D92" s="36"/>
      <c r="E92" s="34"/>
      <c r="F92" s="34"/>
    </row>
    <row r="93" spans="1:34" x14ac:dyDescent="0.25">
      <c r="B93" s="36"/>
      <c r="C93" s="36"/>
      <c r="D93" s="36"/>
      <c r="E93" s="34"/>
      <c r="F93" s="34"/>
    </row>
    <row r="94" spans="1:34" x14ac:dyDescent="0.25">
      <c r="B94" s="36"/>
      <c r="C94" s="36"/>
      <c r="D94" s="36"/>
      <c r="E94" s="34"/>
      <c r="F94" s="34"/>
    </row>
    <row r="95" spans="1:34" x14ac:dyDescent="0.25">
      <c r="B95" s="36"/>
      <c r="C95" s="36"/>
      <c r="D95" s="36"/>
      <c r="E95" s="34"/>
      <c r="F95" s="34"/>
    </row>
    <row r="96" spans="1:34" x14ac:dyDescent="0.25">
      <c r="B96" s="36"/>
      <c r="C96" s="36"/>
      <c r="D96" s="36"/>
      <c r="E96" s="34"/>
      <c r="F96" s="34"/>
    </row>
    <row r="97" spans="2:6" x14ac:dyDescent="0.25">
      <c r="B97" s="36"/>
      <c r="C97" s="36"/>
      <c r="D97" s="36"/>
      <c r="E97" s="34"/>
      <c r="F97" s="34"/>
    </row>
    <row r="98" spans="2:6" x14ac:dyDescent="0.25">
      <c r="B98" s="36"/>
      <c r="C98" s="36"/>
      <c r="D98" s="36"/>
      <c r="E98" s="34"/>
      <c r="F98" s="34"/>
    </row>
    <row r="99" spans="2:6" x14ac:dyDescent="0.25">
      <c r="B99" s="36"/>
      <c r="C99" s="36"/>
      <c r="D99" s="36"/>
      <c r="E99" s="34"/>
      <c r="F99" s="34"/>
    </row>
    <row r="100" spans="2:6" x14ac:dyDescent="0.25">
      <c r="B100" s="36"/>
      <c r="C100" s="36"/>
      <c r="D100" s="36"/>
      <c r="E100" s="34"/>
      <c r="F100" s="34"/>
    </row>
    <row r="101" spans="2:6" x14ac:dyDescent="0.25">
      <c r="B101" s="36"/>
      <c r="C101" s="36"/>
      <c r="D101" s="36"/>
      <c r="E101" s="34"/>
      <c r="F101" s="34"/>
    </row>
    <row r="102" spans="2:6" x14ac:dyDescent="0.25">
      <c r="B102" s="36"/>
      <c r="C102" s="36"/>
      <c r="D102" s="36"/>
      <c r="E102" s="34"/>
      <c r="F102" s="34"/>
    </row>
    <row r="103" spans="2:6" x14ac:dyDescent="0.25">
      <c r="B103" s="36"/>
      <c r="C103" s="36"/>
      <c r="D103" s="36"/>
      <c r="E103" s="34"/>
      <c r="F103" s="34"/>
    </row>
    <row r="104" spans="2:6" x14ac:dyDescent="0.25">
      <c r="B104" s="36"/>
      <c r="C104" s="36"/>
      <c r="D104" s="36"/>
      <c r="E104" s="34"/>
      <c r="F104" s="34"/>
    </row>
    <row r="105" spans="2:6" x14ac:dyDescent="0.25">
      <c r="B105" s="36"/>
      <c r="C105" s="36"/>
      <c r="D105" s="36"/>
      <c r="E105" s="34"/>
      <c r="F105" s="34"/>
    </row>
    <row r="106" spans="2:6" x14ac:dyDescent="0.25">
      <c r="B106" s="36"/>
      <c r="C106" s="36"/>
      <c r="D106" s="36"/>
      <c r="E106" s="34"/>
      <c r="F106" s="34"/>
    </row>
    <row r="107" spans="2:6" x14ac:dyDescent="0.25">
      <c r="B107" s="36"/>
      <c r="C107" s="36"/>
      <c r="D107" s="36"/>
      <c r="E107" s="34"/>
      <c r="F107" s="34"/>
    </row>
    <row r="108" spans="2:6" x14ac:dyDescent="0.25">
      <c r="B108" s="36"/>
      <c r="C108" s="36"/>
      <c r="D108" s="36"/>
      <c r="E108" s="34"/>
      <c r="F108" s="34"/>
    </row>
    <row r="109" spans="2:6" x14ac:dyDescent="0.25">
      <c r="B109" s="36"/>
      <c r="C109" s="36"/>
      <c r="D109" s="36"/>
      <c r="E109" s="34"/>
      <c r="F109" s="34"/>
    </row>
    <row r="110" spans="2:6" x14ac:dyDescent="0.25">
      <c r="B110" s="36"/>
      <c r="C110" s="36"/>
      <c r="D110" s="36"/>
      <c r="E110" s="34"/>
      <c r="F110" s="34"/>
    </row>
  </sheetData>
  <sheetProtection formatCells="0" formatColumns="0"/>
  <mergeCells count="1">
    <mergeCell ref="B2:F2"/>
  </mergeCells>
  <phoneticPr fontId="8" type="noConversion"/>
  <printOptions gridLines="1"/>
  <pageMargins left="0.98425196850393704" right="0.78740157480314965" top="0.98425196850393704" bottom="0.98425196850393704" header="0.51181102362204722" footer="0.51181102362204722"/>
  <pageSetup paperSize="9" scale="69" orientation="portrait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Q71" sqref="Q71"/>
    </sheetView>
  </sheetViews>
  <sheetFormatPr defaultColWidth="9.109375" defaultRowHeight="13.2" x14ac:dyDescent="0.25"/>
  <cols>
    <col min="1" max="1" width="13.44140625" customWidth="1"/>
    <col min="2" max="2" width="10.44140625" customWidth="1"/>
  </cols>
  <sheetData>
    <row r="1" spans="1:14" x14ac:dyDescent="0.25">
      <c r="D1" s="8"/>
      <c r="E1" s="9"/>
    </row>
    <row r="2" spans="1:14" x14ac:dyDescent="0.25">
      <c r="B2" t="s">
        <v>88</v>
      </c>
      <c r="D2" s="2"/>
      <c r="E2" s="9"/>
      <c r="M2">
        <v>2719</v>
      </c>
      <c r="N2" t="s">
        <v>38</v>
      </c>
    </row>
    <row r="3" spans="1:14" x14ac:dyDescent="0.25">
      <c r="A3" s="2" t="s">
        <v>89</v>
      </c>
      <c r="B3">
        <f>'TW - ASML Scara XT'!E7</f>
        <v>0</v>
      </c>
      <c r="C3" s="7">
        <f>IF('TW - ASML Scara XT'!E47&lt;&gt;0,'Component Costs'!M2,0)</f>
        <v>0</v>
      </c>
      <c r="D3" s="10"/>
      <c r="E3" s="9"/>
      <c r="M3">
        <v>1000</v>
      </c>
      <c r="N3" t="s">
        <v>90</v>
      </c>
    </row>
    <row r="4" spans="1:14" x14ac:dyDescent="0.25">
      <c r="A4" s="2"/>
      <c r="C4" s="9"/>
      <c r="D4" s="10"/>
      <c r="E4" s="9"/>
      <c r="M4">
        <v>1000</v>
      </c>
      <c r="N4" t="s">
        <v>91</v>
      </c>
    </row>
    <row r="5" spans="1:14" x14ac:dyDescent="0.25">
      <c r="A5" t="s">
        <v>92</v>
      </c>
      <c r="B5">
        <f>'TW - ASML Scara XT'!E8</f>
        <v>0</v>
      </c>
      <c r="C5" s="7">
        <f>IF('TW - ASML Scara XT'!E54&lt;&gt;0,'Component Costs'!M3,0)</f>
        <v>0</v>
      </c>
      <c r="D5" s="10"/>
      <c r="E5" s="9"/>
    </row>
    <row r="6" spans="1:14" x14ac:dyDescent="0.25">
      <c r="C6" s="7"/>
      <c r="E6" s="9"/>
    </row>
    <row r="7" spans="1:14" x14ac:dyDescent="0.25">
      <c r="A7" t="s">
        <v>93</v>
      </c>
      <c r="B7">
        <f>'TW - ASML Scara XT'!E9</f>
        <v>0</v>
      </c>
      <c r="C7" s="7">
        <f>IF('TW - ASML Scara XT'!E63&lt;&gt;0,'Component Costs'!M4,0)</f>
        <v>0</v>
      </c>
      <c r="D7" s="13"/>
    </row>
    <row r="8" spans="1:14" x14ac:dyDescent="0.25">
      <c r="D8" s="1"/>
      <c r="E8" s="1"/>
    </row>
    <row r="9" spans="1:14" x14ac:dyDescent="0.25">
      <c r="A9" s="11" t="s">
        <v>94</v>
      </c>
      <c r="B9" s="11"/>
      <c r="C9" s="12">
        <f>SUM(C3:C7)</f>
        <v>0</v>
      </c>
    </row>
    <row r="10" spans="1:14" x14ac:dyDescent="0.25">
      <c r="A10" s="1"/>
      <c r="B10" s="1"/>
      <c r="C10" s="1"/>
    </row>
  </sheetData>
  <sheetProtection password="EB2C" sheet="1" objects="1" scenarios="1" selectLockedCells="1" selectUnlockedCells="1"/>
  <phoneticPr fontId="24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77E7-0F67-4715-B10A-26B0BADF1550}">
  <dimension ref="B2:H39"/>
  <sheetViews>
    <sheetView workbookViewId="0">
      <selection activeCell="C6" sqref="C6"/>
    </sheetView>
  </sheetViews>
  <sheetFormatPr defaultRowHeight="13.2" x14ac:dyDescent="0.25"/>
  <cols>
    <col min="2" max="2" width="12.88671875" bestFit="1" customWidth="1"/>
  </cols>
  <sheetData>
    <row r="2" spans="2:8" x14ac:dyDescent="0.25">
      <c r="C2" s="251" t="s">
        <v>95</v>
      </c>
      <c r="D2" s="251"/>
      <c r="E2" s="251" t="s">
        <v>96</v>
      </c>
      <c r="G2" s="256"/>
      <c r="H2" s="257" t="s">
        <v>97</v>
      </c>
    </row>
    <row r="3" spans="2:8" x14ac:dyDescent="0.25">
      <c r="B3" s="251" t="s">
        <v>98</v>
      </c>
      <c r="C3">
        <v>2719</v>
      </c>
      <c r="D3">
        <f>IF(VLOOKUP('TW - ASML Scara XT'!C4,TYPE,2,FALSE)="SC",'TW - ASML Scara XT'!E47*Sheet1!C3,0)</f>
        <v>0</v>
      </c>
      <c r="E3">
        <v>4900</v>
      </c>
      <c r="F3">
        <f>IF(VLOOKUP('TW - ASML Scara XT'!C4,TYPE,2,FALSE)="SC",'TW - ASML Scara XT'!E47*Sheet1!E3,0)</f>
        <v>0</v>
      </c>
      <c r="G3" s="258" t="s">
        <v>98</v>
      </c>
      <c r="H3" s="256">
        <f>E3-C3</f>
        <v>2181</v>
      </c>
    </row>
    <row r="4" spans="2:8" x14ac:dyDescent="0.25">
      <c r="B4" s="251" t="s">
        <v>99</v>
      </c>
      <c r="C4">
        <v>2719</v>
      </c>
      <c r="D4">
        <f>IF(VLOOKUP('TW - ASML Scara XT'!C4,TYPE,2,FALSE)="NT",'TW - ASML Scara XT'!E47*Sheet1!C4,0)</f>
        <v>0</v>
      </c>
      <c r="E4">
        <v>5400</v>
      </c>
      <c r="F4">
        <f>IF(VLOOKUP('TW - ASML Scara XT'!C4,TYPE,2,FALSE)="NT",'TW - ASML Scara XT'!E47*Sheet1!E4,0)</f>
        <v>0</v>
      </c>
      <c r="G4" s="258" t="s">
        <v>99</v>
      </c>
      <c r="H4" s="256">
        <f t="shared" ref="H4:H7" si="0">E4-C4</f>
        <v>2681</v>
      </c>
    </row>
    <row r="5" spans="2:8" x14ac:dyDescent="0.25">
      <c r="B5" s="251" t="s">
        <v>100</v>
      </c>
      <c r="C5">
        <v>2719</v>
      </c>
      <c r="D5">
        <f>IF(VLOOKUP('TW - ASML Scara XT'!C4,TYPE,2,FALSE)="NXT",'TW - ASML Scara XT'!E47*Sheet1!C5,0)</f>
        <v>0</v>
      </c>
      <c r="E5">
        <v>5400</v>
      </c>
      <c r="F5">
        <f>IF(VLOOKUP('TW - ASML Scara XT'!C4,TYPE,2,FALSE)="NXT",'TW - ASML Scara XT'!E47*Sheet1!E5,0)</f>
        <v>0</v>
      </c>
      <c r="G5" s="258" t="s">
        <v>100</v>
      </c>
      <c r="H5" s="256">
        <f t="shared" si="0"/>
        <v>2681</v>
      </c>
    </row>
    <row r="6" spans="2:8" x14ac:dyDescent="0.25">
      <c r="B6" s="251" t="s">
        <v>101</v>
      </c>
      <c r="C6">
        <v>1000</v>
      </c>
      <c r="D6">
        <f>'TW - ASML Scara XT'!E54*C6</f>
        <v>0</v>
      </c>
      <c r="E6">
        <v>7800</v>
      </c>
      <c r="F6">
        <f>'TW - ASML Scara XT'!E54*E6</f>
        <v>0</v>
      </c>
      <c r="G6" s="258" t="s">
        <v>101</v>
      </c>
      <c r="H6" s="256">
        <f t="shared" si="0"/>
        <v>6800</v>
      </c>
    </row>
    <row r="7" spans="2:8" x14ac:dyDescent="0.25">
      <c r="B7" s="251" t="s">
        <v>102</v>
      </c>
      <c r="C7">
        <v>1000</v>
      </c>
      <c r="D7">
        <f>'TW - ASML Scara XT'!E63*C7</f>
        <v>0</v>
      </c>
      <c r="E7">
        <v>3700</v>
      </c>
      <c r="F7">
        <f>'TW - ASML Scara XT'!E63*E7</f>
        <v>0</v>
      </c>
      <c r="G7" s="258" t="s">
        <v>102</v>
      </c>
      <c r="H7" s="256">
        <f t="shared" si="0"/>
        <v>2700</v>
      </c>
    </row>
    <row r="8" spans="2:8" x14ac:dyDescent="0.25">
      <c r="D8">
        <f xml:space="preserve"> SUM(D3:D7)</f>
        <v>0</v>
      </c>
      <c r="F8">
        <f>SUM(F3:F7)</f>
        <v>0</v>
      </c>
    </row>
    <row r="13" spans="2:8" x14ac:dyDescent="0.25">
      <c r="B13" s="251" t="s">
        <v>103</v>
      </c>
    </row>
    <row r="14" spans="2:8" x14ac:dyDescent="0.25">
      <c r="B14" s="252">
        <f>'TW - ASML Scara XT'!F19+'TW - ASML Scara XT'!F30+'TW - ASML Scara XT'!F64+Sheet1!D8-Sheet1!F8</f>
        <v>0</v>
      </c>
    </row>
    <row r="33" spans="2:3" x14ac:dyDescent="0.25">
      <c r="B33" s="251" t="s">
        <v>104</v>
      </c>
      <c r="C33" s="251" t="s">
        <v>105</v>
      </c>
    </row>
    <row r="34" spans="2:3" x14ac:dyDescent="0.25">
      <c r="B34" s="251" t="s">
        <v>106</v>
      </c>
      <c r="C34" s="251" t="s">
        <v>105</v>
      </c>
    </row>
    <row r="35" spans="2:3" x14ac:dyDescent="0.25">
      <c r="B35" s="251" t="s">
        <v>107</v>
      </c>
      <c r="C35" s="251" t="s">
        <v>108</v>
      </c>
    </row>
    <row r="36" spans="2:3" x14ac:dyDescent="0.25">
      <c r="B36" s="251" t="s">
        <v>109</v>
      </c>
      <c r="C36" s="251" t="s">
        <v>108</v>
      </c>
    </row>
    <row r="37" spans="2:3" x14ac:dyDescent="0.25">
      <c r="B37" s="251" t="s">
        <v>110</v>
      </c>
      <c r="C37" s="251" t="s">
        <v>108</v>
      </c>
    </row>
    <row r="38" spans="2:3" x14ac:dyDescent="0.25">
      <c r="B38" s="251" t="s">
        <v>111</v>
      </c>
      <c r="C38" s="251" t="s">
        <v>112</v>
      </c>
    </row>
    <row r="39" spans="2:3" x14ac:dyDescent="0.25">
      <c r="B39" s="251" t="s">
        <v>113</v>
      </c>
      <c r="C39" s="251" t="s">
        <v>112</v>
      </c>
    </row>
  </sheetData>
  <dataConsolidate function="average"/>
  <phoneticPr fontId="2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C36" sqref="C35:C36"/>
    </sheetView>
  </sheetViews>
  <sheetFormatPr defaultColWidth="9.109375" defaultRowHeight="13.2" x14ac:dyDescent="0.25"/>
  <cols>
    <col min="1" max="1" width="9.109375" customWidth="1"/>
    <col min="2" max="2" width="10.5546875" customWidth="1"/>
    <col min="3" max="3" width="69.44140625" customWidth="1"/>
    <col min="4" max="4" width="17.109375" customWidth="1"/>
  </cols>
  <sheetData>
    <row r="1" spans="1:4" x14ac:dyDescent="0.25">
      <c r="A1" s="1" t="s">
        <v>114</v>
      </c>
      <c r="B1" s="1" t="s">
        <v>115</v>
      </c>
      <c r="C1" s="1" t="s">
        <v>116</v>
      </c>
      <c r="D1" s="1" t="s">
        <v>117</v>
      </c>
    </row>
    <row r="2" spans="1:4" x14ac:dyDescent="0.25">
      <c r="A2" s="1" t="s">
        <v>118</v>
      </c>
      <c r="B2" s="14">
        <v>41591</v>
      </c>
      <c r="C2" s="15" t="s">
        <v>119</v>
      </c>
      <c r="D2" s="1" t="s">
        <v>120</v>
      </c>
    </row>
    <row r="3" spans="1:4" x14ac:dyDescent="0.25">
      <c r="A3" s="1" t="s">
        <v>121</v>
      </c>
      <c r="B3" s="14">
        <v>41292</v>
      </c>
      <c r="C3" s="15" t="s">
        <v>122</v>
      </c>
      <c r="D3" s="1" t="s">
        <v>120</v>
      </c>
    </row>
    <row r="4" spans="1:4" x14ac:dyDescent="0.25">
      <c r="A4" s="1" t="s">
        <v>123</v>
      </c>
      <c r="B4" s="14">
        <v>41302</v>
      </c>
      <c r="C4" s="15" t="s">
        <v>124</v>
      </c>
      <c r="D4" s="1" t="s">
        <v>120</v>
      </c>
    </row>
    <row r="5" spans="1:4" x14ac:dyDescent="0.25">
      <c r="A5" s="1" t="s">
        <v>125</v>
      </c>
      <c r="B5" s="14">
        <v>41309</v>
      </c>
      <c r="C5" s="15" t="s">
        <v>126</v>
      </c>
      <c r="D5" s="1" t="s">
        <v>120</v>
      </c>
    </row>
    <row r="6" spans="1:4" x14ac:dyDescent="0.25">
      <c r="A6" s="106" t="s">
        <v>127</v>
      </c>
      <c r="B6" s="14">
        <v>41332</v>
      </c>
      <c r="C6" s="128" t="s">
        <v>128</v>
      </c>
      <c r="D6" s="106" t="s">
        <v>129</v>
      </c>
    </row>
    <row r="7" spans="1:4" x14ac:dyDescent="0.25">
      <c r="A7" s="1" t="s">
        <v>130</v>
      </c>
      <c r="B7" s="14">
        <v>41540</v>
      </c>
      <c r="C7" s="15" t="s">
        <v>131</v>
      </c>
      <c r="D7" s="1" t="s">
        <v>129</v>
      </c>
    </row>
    <row r="8" spans="1:4" x14ac:dyDescent="0.25">
      <c r="A8" s="1" t="s">
        <v>132</v>
      </c>
      <c r="B8" s="14">
        <v>41543</v>
      </c>
      <c r="C8" s="15" t="s">
        <v>133</v>
      </c>
      <c r="D8" s="1" t="s">
        <v>129</v>
      </c>
    </row>
    <row r="9" spans="1:4" x14ac:dyDescent="0.25">
      <c r="A9" s="1" t="s">
        <v>134</v>
      </c>
      <c r="B9" s="14">
        <v>41598</v>
      </c>
      <c r="C9" s="15" t="s">
        <v>135</v>
      </c>
      <c r="D9" s="1" t="s">
        <v>129</v>
      </c>
    </row>
    <row r="10" spans="1:4" x14ac:dyDescent="0.25">
      <c r="A10" s="106" t="s">
        <v>136</v>
      </c>
      <c r="B10" s="1"/>
      <c r="C10" s="15"/>
      <c r="D10" s="1"/>
    </row>
    <row r="11" spans="1:4" x14ac:dyDescent="0.25">
      <c r="A11" s="106" t="s">
        <v>137</v>
      </c>
      <c r="B11" s="1"/>
      <c r="C11" s="15"/>
      <c r="D11" s="1"/>
    </row>
    <row r="12" spans="1:4" x14ac:dyDescent="0.25">
      <c r="A12" s="106" t="s">
        <v>138</v>
      </c>
      <c r="B12" s="14">
        <v>42426</v>
      </c>
      <c r="C12" s="128" t="s">
        <v>139</v>
      </c>
      <c r="D12" s="106" t="s">
        <v>129</v>
      </c>
    </row>
    <row r="13" spans="1:4" x14ac:dyDescent="0.25">
      <c r="A13" s="106" t="s">
        <v>140</v>
      </c>
      <c r="B13" s="14">
        <v>42499</v>
      </c>
      <c r="C13" s="128" t="s">
        <v>141</v>
      </c>
      <c r="D13" s="106" t="s">
        <v>129</v>
      </c>
    </row>
    <row r="14" spans="1:4" x14ac:dyDescent="0.25">
      <c r="A14" s="1" t="s">
        <v>142</v>
      </c>
      <c r="B14" s="14">
        <v>42500</v>
      </c>
      <c r="C14" s="15" t="s">
        <v>143</v>
      </c>
      <c r="D14" s="1" t="s">
        <v>129</v>
      </c>
    </row>
    <row r="15" spans="1:4" x14ac:dyDescent="0.25">
      <c r="A15" s="1" t="s">
        <v>144</v>
      </c>
      <c r="B15" s="113">
        <v>42663</v>
      </c>
      <c r="C15" s="128" t="s">
        <v>145</v>
      </c>
      <c r="D15" s="1" t="s">
        <v>129</v>
      </c>
    </row>
    <row r="16" spans="1:4" x14ac:dyDescent="0.25">
      <c r="A16" s="1" t="s">
        <v>146</v>
      </c>
      <c r="B16" s="113">
        <v>42887</v>
      </c>
      <c r="C16" s="128" t="s">
        <v>147</v>
      </c>
      <c r="D16" s="1" t="s">
        <v>129</v>
      </c>
    </row>
    <row r="17" spans="1:4" x14ac:dyDescent="0.25">
      <c r="A17" s="1" t="s">
        <v>148</v>
      </c>
      <c r="B17" s="113">
        <v>43053</v>
      </c>
      <c r="C17" s="128" t="s">
        <v>149</v>
      </c>
      <c r="D17" s="1" t="s">
        <v>129</v>
      </c>
    </row>
    <row r="18" spans="1:4" x14ac:dyDescent="0.25">
      <c r="A18" s="1" t="s">
        <v>150</v>
      </c>
      <c r="B18" s="113">
        <v>43067</v>
      </c>
      <c r="C18" s="128" t="s">
        <v>151</v>
      </c>
      <c r="D18" s="1" t="s">
        <v>129</v>
      </c>
    </row>
    <row r="19" spans="1:4" x14ac:dyDescent="0.25">
      <c r="A19" s="1" t="s">
        <v>152</v>
      </c>
      <c r="B19" s="113">
        <v>43348</v>
      </c>
      <c r="C19" s="128" t="s">
        <v>153</v>
      </c>
      <c r="D19" s="1" t="s">
        <v>129</v>
      </c>
    </row>
    <row r="20" spans="1:4" x14ac:dyDescent="0.25">
      <c r="A20" s="1" t="s">
        <v>154</v>
      </c>
      <c r="B20" s="113">
        <v>43710</v>
      </c>
      <c r="C20" s="128" t="s">
        <v>155</v>
      </c>
      <c r="D20" s="1" t="s">
        <v>129</v>
      </c>
    </row>
    <row r="21" spans="1:4" x14ac:dyDescent="0.25">
      <c r="A21" s="1" t="s">
        <v>156</v>
      </c>
      <c r="B21" s="113">
        <v>43731</v>
      </c>
      <c r="C21" s="128" t="s">
        <v>157</v>
      </c>
      <c r="D21" s="1" t="s">
        <v>129</v>
      </c>
    </row>
    <row r="22" spans="1:4" x14ac:dyDescent="0.25">
      <c r="A22" s="1" t="s">
        <v>158</v>
      </c>
      <c r="B22" s="113">
        <v>43894</v>
      </c>
      <c r="C22" s="128" t="s">
        <v>159</v>
      </c>
      <c r="D22" s="1" t="s">
        <v>129</v>
      </c>
    </row>
  </sheetData>
  <phoneticPr fontId="24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W292"/>
  <sheetViews>
    <sheetView zoomScaleNormal="100" workbookViewId="0">
      <pane ySplit="1" topLeftCell="A251" activePane="bottomLeft" state="frozen"/>
      <selection activeCell="C1" sqref="C1"/>
      <selection pane="bottomLeft" activeCell="Y268" sqref="Y268"/>
    </sheetView>
  </sheetViews>
  <sheetFormatPr defaultColWidth="11.44140625" defaultRowHeight="14.4" outlineLevelRow="1" outlineLevelCol="2" x14ac:dyDescent="0.3"/>
  <cols>
    <col min="1" max="1" width="16.109375" style="137" customWidth="1"/>
    <col min="2" max="2" width="33.44140625" style="137" customWidth="1" outlineLevel="2"/>
    <col min="3" max="3" width="11.44140625" style="138" customWidth="1" outlineLevel="2"/>
    <col min="4" max="4" width="12" style="137" customWidth="1" outlineLevel="2"/>
    <col min="5" max="5" width="14.6640625" style="137" customWidth="1" outlineLevel="2"/>
    <col min="6" max="6" width="8.5546875" style="139" bestFit="1" customWidth="1" outlineLevel="1"/>
    <col min="7" max="7" width="13.5546875" style="137" bestFit="1" customWidth="1"/>
    <col min="8" max="8" width="13" style="137" customWidth="1"/>
    <col min="9" max="9" width="9.44140625" style="137" bestFit="1" customWidth="1"/>
    <col min="10" max="10" width="14.88671875" style="137" customWidth="1"/>
    <col min="11" max="14" width="11.44140625" style="137"/>
    <col min="15" max="15" width="18.109375" style="137" bestFit="1" customWidth="1"/>
    <col min="16" max="16" width="12.5546875" style="137" bestFit="1" customWidth="1"/>
    <col min="17" max="18" width="11.44140625" style="137"/>
    <col min="19" max="19" width="15.33203125" style="195" customWidth="1"/>
    <col min="20" max="20" width="11.44140625" style="195" customWidth="1"/>
    <col min="21" max="21" width="12" style="213" bestFit="1" customWidth="1"/>
    <col min="22" max="22" width="11.44140625" style="213"/>
    <col min="23" max="23" width="12.88671875" style="137" customWidth="1"/>
    <col min="24" max="16384" width="11.44140625" style="137"/>
  </cols>
  <sheetData>
    <row r="1" spans="1:23" ht="28.8" x14ac:dyDescent="0.3">
      <c r="G1" s="139"/>
      <c r="H1" s="140" t="s">
        <v>160</v>
      </c>
      <c r="I1" s="137" t="s">
        <v>161</v>
      </c>
      <c r="L1" s="141" t="s">
        <v>162</v>
      </c>
      <c r="M1" s="137">
        <v>90</v>
      </c>
      <c r="O1" s="264" t="s">
        <v>163</v>
      </c>
      <c r="P1" s="264" t="s">
        <v>164</v>
      </c>
      <c r="Q1" s="264" t="s">
        <v>165</v>
      </c>
      <c r="S1" s="197" t="s">
        <v>166</v>
      </c>
      <c r="T1" s="197" t="s">
        <v>167</v>
      </c>
      <c r="U1" s="196" t="s">
        <v>166</v>
      </c>
      <c r="V1" s="196" t="s">
        <v>167</v>
      </c>
      <c r="W1" s="264" t="s">
        <v>168</v>
      </c>
    </row>
    <row r="2" spans="1:23" x14ac:dyDescent="0.3">
      <c r="A2" s="142" t="s">
        <v>169</v>
      </c>
      <c r="F2" s="139" t="s">
        <v>170</v>
      </c>
      <c r="G2" s="137">
        <v>4</v>
      </c>
      <c r="H2" s="143">
        <v>1675</v>
      </c>
      <c r="I2" s="143">
        <f>H2-G6</f>
        <v>343.93200000000002</v>
      </c>
      <c r="L2" s="137" t="s">
        <v>171</v>
      </c>
      <c r="M2" s="137">
        <v>1.4</v>
      </c>
      <c r="O2" s="265" t="str">
        <f>A2</f>
        <v>Bänder inkl. Seals</v>
      </c>
      <c r="P2" s="266">
        <f>100/G6*G4</f>
        <v>72.954048929130593</v>
      </c>
      <c r="Q2" s="180">
        <f>100/G6*G5</f>
        <v>27.045951070869407</v>
      </c>
      <c r="R2" s="137">
        <f>Q2+P2</f>
        <v>100</v>
      </c>
      <c r="S2" s="195">
        <f>IF('TW - ASML Scara XT'!E13&lt;&gt;0,'Calc.'!P2,0)</f>
        <v>0</v>
      </c>
      <c r="T2" s="195">
        <f>IF('TW - ASML Scara XT'!E13&lt;&gt;0,'Calc.'!Q2,0)</f>
        <v>0</v>
      </c>
      <c r="U2" s="212">
        <f>S2*G6/100</f>
        <v>0</v>
      </c>
      <c r="V2" s="212">
        <f>T2*G6/100</f>
        <v>0</v>
      </c>
      <c r="W2" s="143">
        <f>V2+U2</f>
        <v>0</v>
      </c>
    </row>
    <row r="3" spans="1:23" outlineLevel="1" x14ac:dyDescent="0.3">
      <c r="A3" s="279" t="s">
        <v>172</v>
      </c>
      <c r="B3" s="280"/>
      <c r="C3" s="280"/>
      <c r="D3" s="280"/>
      <c r="E3" s="280"/>
      <c r="F3" s="139" t="s">
        <v>173</v>
      </c>
      <c r="G3" s="137">
        <f>$M$2</f>
        <v>1.4</v>
      </c>
      <c r="H3" s="143"/>
      <c r="L3" s="264"/>
    </row>
    <row r="4" spans="1:23" outlineLevel="1" x14ac:dyDescent="0.3">
      <c r="A4" s="144" t="s">
        <v>163</v>
      </c>
      <c r="B4" s="137" t="s">
        <v>174</v>
      </c>
      <c r="C4" s="138" t="s">
        <v>175</v>
      </c>
      <c r="D4" s="137" t="s">
        <v>176</v>
      </c>
      <c r="E4" s="137" t="s">
        <v>177</v>
      </c>
      <c r="F4" s="139" t="s">
        <v>166</v>
      </c>
      <c r="G4" s="143">
        <f>SUM(E5:E8)*G3</f>
        <v>971.06799999999998</v>
      </c>
      <c r="H4" s="143"/>
    </row>
    <row r="5" spans="1:23" outlineLevel="1" x14ac:dyDescent="0.3">
      <c r="A5" s="144" t="s">
        <v>178</v>
      </c>
      <c r="B5" s="137" t="s">
        <v>179</v>
      </c>
      <c r="C5" s="138">
        <v>2</v>
      </c>
      <c r="D5" s="143">
        <v>173.72</v>
      </c>
      <c r="E5" s="143">
        <f>D5*C5</f>
        <v>347.44</v>
      </c>
      <c r="F5" s="139" t="s">
        <v>170</v>
      </c>
      <c r="G5" s="143">
        <f>Stundensatz*G2</f>
        <v>360</v>
      </c>
      <c r="H5" s="143"/>
    </row>
    <row r="6" spans="1:23" outlineLevel="1" x14ac:dyDescent="0.3">
      <c r="A6" s="144" t="s">
        <v>180</v>
      </c>
      <c r="B6" s="137" t="s">
        <v>181</v>
      </c>
      <c r="C6" s="138">
        <v>2</v>
      </c>
      <c r="D6" s="143">
        <v>161.59</v>
      </c>
      <c r="E6" s="143">
        <f t="shared" ref="E6:E8" si="0">D6*C6</f>
        <v>323.18</v>
      </c>
      <c r="F6" s="139" t="s">
        <v>182</v>
      </c>
      <c r="G6" s="143">
        <f>SUM(G4:G5)</f>
        <v>1331.068</v>
      </c>
      <c r="H6" s="143"/>
    </row>
    <row r="7" spans="1:23" outlineLevel="1" x14ac:dyDescent="0.3">
      <c r="A7" s="144" t="s">
        <v>183</v>
      </c>
      <c r="B7" s="137" t="s">
        <v>184</v>
      </c>
      <c r="C7" s="138">
        <v>2</v>
      </c>
      <c r="D7" s="143">
        <v>5.28</v>
      </c>
      <c r="E7" s="143">
        <f t="shared" si="0"/>
        <v>10.56</v>
      </c>
      <c r="H7" s="143"/>
    </row>
    <row r="8" spans="1:23" outlineLevel="1" x14ac:dyDescent="0.3">
      <c r="A8" s="145">
        <v>604956</v>
      </c>
      <c r="B8" s="146" t="s">
        <v>185</v>
      </c>
      <c r="C8" s="147">
        <v>20</v>
      </c>
      <c r="D8" s="148">
        <f>622/1000</f>
        <v>0.622</v>
      </c>
      <c r="E8" s="148">
        <f t="shared" si="0"/>
        <v>12.44</v>
      </c>
      <c r="H8" s="143"/>
    </row>
    <row r="9" spans="1:23" x14ac:dyDescent="0.3">
      <c r="G9" s="138"/>
      <c r="H9" s="149"/>
    </row>
    <row r="10" spans="1:23" ht="30" customHeight="1" x14ac:dyDescent="0.3">
      <c r="A10" s="142" t="s">
        <v>186</v>
      </c>
      <c r="F10" s="139" t="s">
        <v>170</v>
      </c>
      <c r="G10" s="137">
        <v>6.5</v>
      </c>
      <c r="H10" s="150">
        <v>7322.5</v>
      </c>
      <c r="I10" s="143">
        <f>H10-G15</f>
        <v>355.27799999999934</v>
      </c>
      <c r="O10" s="265" t="str">
        <f>A10</f>
        <v xml:space="preserve">DM - Lika Motor upgrade (incl. Sealing)
</v>
      </c>
      <c r="P10" s="266">
        <f>100/G15*G13</f>
        <v>91.603540119720606</v>
      </c>
      <c r="Q10" s="180">
        <f>100/G15*G14</f>
        <v>8.3964598802793997</v>
      </c>
      <c r="R10" s="137">
        <f>Q10+P10</f>
        <v>100</v>
      </c>
      <c r="S10" s="195">
        <f>IF('TW - ASML Scara XT'!E15&lt;&gt;0,'Calc.'!P10,0)</f>
        <v>0</v>
      </c>
      <c r="T10" s="195">
        <f>IF('TW - ASML Scara XT'!E15&lt;&gt;0,'Calc.'!Q10,0)</f>
        <v>0</v>
      </c>
      <c r="U10" s="212">
        <f>S10*G15/100</f>
        <v>0</v>
      </c>
      <c r="V10" s="212">
        <f>T10*G15/100</f>
        <v>0</v>
      </c>
      <c r="W10" s="143">
        <f>V10+U10</f>
        <v>0</v>
      </c>
    </row>
    <row r="11" spans="1:23" outlineLevel="1" x14ac:dyDescent="0.3">
      <c r="A11" s="285" t="s">
        <v>172</v>
      </c>
      <c r="B11" s="286"/>
      <c r="C11" s="286"/>
      <c r="D11" s="286"/>
      <c r="E11" s="286"/>
      <c r="H11" s="143"/>
    </row>
    <row r="12" spans="1:23" outlineLevel="1" x14ac:dyDescent="0.3">
      <c r="A12" s="151" t="s">
        <v>163</v>
      </c>
      <c r="B12" s="152" t="s">
        <v>174</v>
      </c>
      <c r="C12" s="153" t="s">
        <v>175</v>
      </c>
      <c r="D12" s="152" t="s">
        <v>176</v>
      </c>
      <c r="E12" s="154" t="s">
        <v>177</v>
      </c>
      <c r="F12" s="139" t="s">
        <v>173</v>
      </c>
      <c r="G12" s="137">
        <f>$M$2</f>
        <v>1.4</v>
      </c>
      <c r="H12" s="143"/>
    </row>
    <row r="13" spans="1:23" outlineLevel="1" x14ac:dyDescent="0.3">
      <c r="A13" s="144" t="s">
        <v>187</v>
      </c>
      <c r="B13" s="137" t="s">
        <v>188</v>
      </c>
      <c r="C13" s="138">
        <v>2</v>
      </c>
      <c r="D13" s="143">
        <v>15.63</v>
      </c>
      <c r="E13" s="155">
        <f t="shared" ref="E13:E21" si="1">D13*C13</f>
        <v>31.26</v>
      </c>
      <c r="F13" s="139" t="s">
        <v>166</v>
      </c>
      <c r="G13" s="143">
        <f>SUM(E13:E21)*G12</f>
        <v>6382.2220000000007</v>
      </c>
      <c r="H13" s="143"/>
    </row>
    <row r="14" spans="1:23" outlineLevel="1" x14ac:dyDescent="0.3">
      <c r="A14" s="156">
        <v>400127</v>
      </c>
      <c r="B14" s="137" t="s">
        <v>189</v>
      </c>
      <c r="C14" s="138">
        <v>2</v>
      </c>
      <c r="D14" s="143">
        <v>1959.72</v>
      </c>
      <c r="E14" s="155">
        <f t="shared" si="1"/>
        <v>3919.44</v>
      </c>
      <c r="F14" s="139" t="s">
        <v>170</v>
      </c>
      <c r="G14" s="143">
        <f>G10*Stundensatz</f>
        <v>585</v>
      </c>
      <c r="H14" s="143"/>
    </row>
    <row r="15" spans="1:23" outlineLevel="1" x14ac:dyDescent="0.3">
      <c r="A15" s="156" t="s">
        <v>190</v>
      </c>
      <c r="B15" s="137" t="s">
        <v>191</v>
      </c>
      <c r="C15" s="138">
        <v>2</v>
      </c>
      <c r="D15" s="143">
        <v>16.8</v>
      </c>
      <c r="E15" s="155">
        <f t="shared" si="1"/>
        <v>33.6</v>
      </c>
      <c r="F15" s="139" t="s">
        <v>182</v>
      </c>
      <c r="G15" s="143">
        <f>SUM(G13:G14)</f>
        <v>6967.2220000000007</v>
      </c>
      <c r="H15" s="143"/>
      <c r="I15" s="143"/>
    </row>
    <row r="16" spans="1:23" outlineLevel="1" x14ac:dyDescent="0.3">
      <c r="A16" s="156">
        <v>612678</v>
      </c>
      <c r="B16" s="137" t="s">
        <v>192</v>
      </c>
      <c r="C16" s="138">
        <v>1</v>
      </c>
      <c r="D16" s="157">
        <v>48.52</v>
      </c>
      <c r="E16" s="155">
        <f>D16*C16</f>
        <v>48.52</v>
      </c>
      <c r="H16" s="143"/>
    </row>
    <row r="17" spans="1:23" outlineLevel="1" x14ac:dyDescent="0.3">
      <c r="A17" s="156"/>
      <c r="B17" s="137" t="s">
        <v>193</v>
      </c>
      <c r="C17" s="138">
        <v>2</v>
      </c>
      <c r="D17" s="158">
        <f>252/G12</f>
        <v>180</v>
      </c>
      <c r="E17" s="155">
        <f t="shared" si="1"/>
        <v>360</v>
      </c>
      <c r="H17" s="143"/>
    </row>
    <row r="18" spans="1:23" outlineLevel="1" x14ac:dyDescent="0.3">
      <c r="A18" s="156"/>
      <c r="B18" s="137" t="s">
        <v>194</v>
      </c>
      <c r="C18" s="138">
        <v>2</v>
      </c>
      <c r="D18" s="158">
        <f>65.78/G12</f>
        <v>46.985714285714288</v>
      </c>
      <c r="E18" s="155">
        <f t="shared" si="1"/>
        <v>93.971428571428575</v>
      </c>
      <c r="H18" s="143"/>
    </row>
    <row r="19" spans="1:23" outlineLevel="1" x14ac:dyDescent="0.3">
      <c r="A19" s="144"/>
      <c r="B19" s="159" t="s">
        <v>195</v>
      </c>
      <c r="C19" s="160">
        <v>2</v>
      </c>
      <c r="D19" s="161">
        <f>288/G12</f>
        <v>205.71428571428572</v>
      </c>
      <c r="E19" s="155"/>
      <c r="H19" s="143"/>
    </row>
    <row r="20" spans="1:23" outlineLevel="1" x14ac:dyDescent="0.3">
      <c r="A20" s="156"/>
      <c r="B20" s="137" t="s">
        <v>196</v>
      </c>
      <c r="C20" s="138">
        <v>1</v>
      </c>
      <c r="D20" s="143">
        <f>100/G12</f>
        <v>71.428571428571431</v>
      </c>
      <c r="E20" s="155">
        <f t="shared" si="1"/>
        <v>71.428571428571431</v>
      </c>
      <c r="H20" s="143"/>
    </row>
    <row r="21" spans="1:23" outlineLevel="1" x14ac:dyDescent="0.3">
      <c r="A21" s="162" t="s">
        <v>197</v>
      </c>
      <c r="B21" s="146" t="s">
        <v>198</v>
      </c>
      <c r="C21" s="147">
        <v>1</v>
      </c>
      <c r="D21" s="163">
        <v>0.51</v>
      </c>
      <c r="E21" s="164">
        <f t="shared" si="1"/>
        <v>0.51</v>
      </c>
      <c r="H21" s="143"/>
    </row>
    <row r="22" spans="1:23" outlineLevel="1" x14ac:dyDescent="0.3">
      <c r="A22" s="139"/>
      <c r="D22" s="143"/>
      <c r="E22" s="143"/>
      <c r="H22" s="143"/>
    </row>
    <row r="23" spans="1:23" x14ac:dyDescent="0.3">
      <c r="C23" s="137"/>
      <c r="H23" s="143"/>
    </row>
    <row r="24" spans="1:23" x14ac:dyDescent="0.3">
      <c r="A24" s="142" t="s">
        <v>199</v>
      </c>
      <c r="F24" s="139" t="s">
        <v>170</v>
      </c>
      <c r="G24" s="137">
        <v>6.5</v>
      </c>
      <c r="H24" s="143">
        <v>2560</v>
      </c>
      <c r="I24" s="143">
        <f>H24-G29</f>
        <v>563.24000000000024</v>
      </c>
      <c r="O24" s="265" t="str">
        <f>A24</f>
        <v>Motor/Spindel upgrade  - SCARA</v>
      </c>
      <c r="P24" s="266">
        <f>100/G29*G27</f>
        <v>70.702538111741021</v>
      </c>
      <c r="Q24" s="180">
        <f>100/G29*G28</f>
        <v>29.297461888258983</v>
      </c>
      <c r="R24" s="137">
        <f>Q24+P24</f>
        <v>100</v>
      </c>
      <c r="S24" s="195">
        <f>IF('TW - ASML Scara XT'!E17&lt;&gt;0,'Calc.'!P24,0)</f>
        <v>0</v>
      </c>
      <c r="T24" s="195">
        <f>IF('TW - ASML Scara XT'!E17&lt;&gt;0,'Calc.'!Q24,0)</f>
        <v>0</v>
      </c>
      <c r="U24" s="212">
        <f>S24*G29/100</f>
        <v>0</v>
      </c>
      <c r="V24" s="212">
        <f>T24*G29/100</f>
        <v>0</v>
      </c>
      <c r="W24" s="143">
        <f>V24+U24</f>
        <v>0</v>
      </c>
    </row>
    <row r="25" spans="1:23" outlineLevel="1" x14ac:dyDescent="0.3">
      <c r="A25" s="279" t="s">
        <v>172</v>
      </c>
      <c r="B25" s="280"/>
      <c r="C25" s="280"/>
      <c r="D25" s="280"/>
      <c r="E25" s="280"/>
      <c r="H25" s="143"/>
    </row>
    <row r="26" spans="1:23" outlineLevel="1" x14ac:dyDescent="0.3">
      <c r="A26" s="144" t="s">
        <v>163</v>
      </c>
      <c r="B26" s="137" t="s">
        <v>174</v>
      </c>
      <c r="C26" s="138" t="s">
        <v>175</v>
      </c>
      <c r="D26" s="137" t="s">
        <v>176</v>
      </c>
      <c r="E26" s="137" t="s">
        <v>177</v>
      </c>
      <c r="F26" s="139" t="s">
        <v>173</v>
      </c>
      <c r="G26" s="137">
        <f>$M$2</f>
        <v>1.4</v>
      </c>
      <c r="H26" s="143"/>
    </row>
    <row r="27" spans="1:23" outlineLevel="1" x14ac:dyDescent="0.3">
      <c r="A27" s="139">
        <v>609808</v>
      </c>
      <c r="B27" s="137" t="s">
        <v>200</v>
      </c>
      <c r="C27" s="138">
        <v>1</v>
      </c>
      <c r="D27" s="157">
        <v>47.1</v>
      </c>
      <c r="E27" s="143">
        <f t="shared" ref="E27:E32" si="2">D27*C27</f>
        <v>47.1</v>
      </c>
      <c r="F27" s="139" t="s">
        <v>166</v>
      </c>
      <c r="G27" s="143">
        <f>SUM(E27:E32)*G26</f>
        <v>1411.7599999999998</v>
      </c>
      <c r="H27" s="143"/>
    </row>
    <row r="28" spans="1:23" outlineLevel="1" x14ac:dyDescent="0.3">
      <c r="A28" s="139">
        <v>605703</v>
      </c>
      <c r="B28" s="137" t="s">
        <v>201</v>
      </c>
      <c r="C28" s="138">
        <v>1</v>
      </c>
      <c r="D28" s="165">
        <v>116</v>
      </c>
      <c r="E28" s="143">
        <f t="shared" si="2"/>
        <v>116</v>
      </c>
      <c r="F28" s="139" t="s">
        <v>170</v>
      </c>
      <c r="G28" s="143">
        <f>G24*Stundensatz</f>
        <v>585</v>
      </c>
      <c r="H28" s="143"/>
    </row>
    <row r="29" spans="1:23" outlineLevel="1" x14ac:dyDescent="0.3">
      <c r="A29" s="137" t="s">
        <v>202</v>
      </c>
      <c r="B29" s="137" t="s">
        <v>203</v>
      </c>
      <c r="C29" s="138">
        <v>1</v>
      </c>
      <c r="D29" s="157">
        <v>486.7</v>
      </c>
      <c r="E29" s="143">
        <f t="shared" si="2"/>
        <v>486.7</v>
      </c>
      <c r="F29" s="139" t="s">
        <v>182</v>
      </c>
      <c r="G29" s="143">
        <f>SUM(G27:G28)</f>
        <v>1996.7599999999998</v>
      </c>
      <c r="H29" s="143"/>
    </row>
    <row r="30" spans="1:23" outlineLevel="1" x14ac:dyDescent="0.3">
      <c r="A30" s="137" t="s">
        <v>204</v>
      </c>
      <c r="B30" s="137" t="s">
        <v>205</v>
      </c>
      <c r="C30" s="138">
        <v>2</v>
      </c>
      <c r="D30" s="157">
        <v>14.4</v>
      </c>
      <c r="E30" s="143">
        <f t="shared" si="2"/>
        <v>28.8</v>
      </c>
      <c r="H30" s="143"/>
      <c r="I30" s="143"/>
    </row>
    <row r="31" spans="1:23" outlineLevel="1" x14ac:dyDescent="0.3">
      <c r="A31" s="137" t="s">
        <v>206</v>
      </c>
      <c r="B31" s="137" t="s">
        <v>207</v>
      </c>
      <c r="C31" s="138">
        <v>1</v>
      </c>
      <c r="D31" s="157">
        <v>19.899999999999999</v>
      </c>
      <c r="E31" s="143">
        <f t="shared" si="2"/>
        <v>19.899999999999999</v>
      </c>
      <c r="H31" s="143"/>
      <c r="I31" s="143"/>
    </row>
    <row r="32" spans="1:23" outlineLevel="1" x14ac:dyDescent="0.3">
      <c r="A32" s="146" t="s">
        <v>208</v>
      </c>
      <c r="B32" s="146" t="s">
        <v>209</v>
      </c>
      <c r="C32" s="147">
        <v>1</v>
      </c>
      <c r="D32" s="163">
        <v>309.89999999999998</v>
      </c>
      <c r="E32" s="148">
        <f t="shared" si="2"/>
        <v>309.89999999999998</v>
      </c>
      <c r="H32" s="143"/>
      <c r="I32" s="143"/>
    </row>
    <row r="33" spans="1:23" x14ac:dyDescent="0.3">
      <c r="H33" s="143"/>
      <c r="I33" s="143"/>
    </row>
    <row r="34" spans="1:23" x14ac:dyDescent="0.3">
      <c r="A34" s="142" t="s">
        <v>210</v>
      </c>
      <c r="F34" s="139" t="s">
        <v>170</v>
      </c>
      <c r="G34" s="137">
        <v>6.5</v>
      </c>
      <c r="H34" s="143">
        <v>2587</v>
      </c>
      <c r="I34" s="143">
        <f>H34-G40</f>
        <v>568.54000000000019</v>
      </c>
      <c r="O34" s="265" t="str">
        <f>A34</f>
        <v>Motor/Spindel upgrade  - N T</v>
      </c>
      <c r="P34" s="266">
        <f>100/G40*G38</f>
        <v>71.017508397491156</v>
      </c>
      <c r="Q34" s="180">
        <f>100/G40*G39</f>
        <v>28.982491602508848</v>
      </c>
      <c r="R34" s="137">
        <f>Q34+P34</f>
        <v>100</v>
      </c>
      <c r="S34" s="195">
        <f>IF('TW - ASML Scara XT'!E18&lt;&gt;0,'Calc.'!P34,0)</f>
        <v>0</v>
      </c>
      <c r="T34" s="195">
        <f>IF('TW - ASML Scara XT'!E18&lt;&gt;0,'Calc.'!Q34,0)</f>
        <v>0</v>
      </c>
      <c r="U34" s="212">
        <f>S34*G40/100</f>
        <v>0</v>
      </c>
      <c r="V34" s="212">
        <f>T34*G40/100</f>
        <v>0</v>
      </c>
      <c r="W34" s="143">
        <f>V34+U34</f>
        <v>0</v>
      </c>
    </row>
    <row r="35" spans="1:23" outlineLevel="1" x14ac:dyDescent="0.3">
      <c r="A35" s="279" t="s">
        <v>172</v>
      </c>
      <c r="B35" s="280"/>
      <c r="C35" s="280"/>
      <c r="D35" s="280"/>
      <c r="E35" s="280"/>
      <c r="H35" s="143"/>
      <c r="I35" s="143"/>
      <c r="O35" s="265"/>
      <c r="P35" s="266"/>
      <c r="Q35" s="180"/>
    </row>
    <row r="36" spans="1:23" outlineLevel="1" x14ac:dyDescent="0.3">
      <c r="A36" s="144" t="s">
        <v>163</v>
      </c>
      <c r="B36" s="137" t="s">
        <v>174</v>
      </c>
      <c r="C36" s="138" t="s">
        <v>175</v>
      </c>
      <c r="D36" s="137" t="s">
        <v>176</v>
      </c>
      <c r="E36" s="137" t="s">
        <v>177</v>
      </c>
      <c r="H36" s="143"/>
      <c r="I36" s="143"/>
    </row>
    <row r="37" spans="1:23" outlineLevel="1" x14ac:dyDescent="0.3">
      <c r="A37" s="139">
        <v>609808</v>
      </c>
      <c r="B37" s="137" t="s">
        <v>200</v>
      </c>
      <c r="C37" s="138">
        <v>1</v>
      </c>
      <c r="D37" s="157">
        <v>47.1</v>
      </c>
      <c r="E37" s="143">
        <f t="shared" ref="E37:E42" si="3">D37*C37</f>
        <v>47.1</v>
      </c>
      <c r="F37" s="139" t="s">
        <v>173</v>
      </c>
      <c r="G37" s="137">
        <f>$M$2</f>
        <v>1.4</v>
      </c>
      <c r="H37" s="143"/>
      <c r="I37" s="143"/>
    </row>
    <row r="38" spans="1:23" outlineLevel="1" x14ac:dyDescent="0.3">
      <c r="A38" s="139">
        <v>607174</v>
      </c>
      <c r="B38" s="137" t="s">
        <v>211</v>
      </c>
      <c r="C38" s="138">
        <v>1</v>
      </c>
      <c r="D38" s="165">
        <v>131.5</v>
      </c>
      <c r="E38" s="143">
        <f t="shared" si="3"/>
        <v>131.5</v>
      </c>
      <c r="F38" s="139" t="s">
        <v>166</v>
      </c>
      <c r="G38" s="143">
        <f>SUM(E37:E42)*G37</f>
        <v>1433.4599999999998</v>
      </c>
      <c r="H38" s="143"/>
      <c r="I38" s="143"/>
    </row>
    <row r="39" spans="1:23" outlineLevel="1" x14ac:dyDescent="0.3">
      <c r="A39" s="137" t="s">
        <v>202</v>
      </c>
      <c r="B39" s="137" t="s">
        <v>203</v>
      </c>
      <c r="C39" s="138">
        <v>1</v>
      </c>
      <c r="D39" s="157">
        <v>486.7</v>
      </c>
      <c r="E39" s="143">
        <f t="shared" si="3"/>
        <v>486.7</v>
      </c>
      <c r="F39" s="139" t="s">
        <v>170</v>
      </c>
      <c r="G39" s="143">
        <f>G34*Stundensatz</f>
        <v>585</v>
      </c>
      <c r="H39" s="143"/>
      <c r="I39" s="143"/>
    </row>
    <row r="40" spans="1:23" outlineLevel="1" x14ac:dyDescent="0.3">
      <c r="A40" s="137" t="s">
        <v>204</v>
      </c>
      <c r="B40" s="137" t="s">
        <v>205</v>
      </c>
      <c r="C40" s="138">
        <v>2</v>
      </c>
      <c r="D40" s="157">
        <v>14.4</v>
      </c>
      <c r="E40" s="143">
        <f t="shared" si="3"/>
        <v>28.8</v>
      </c>
      <c r="F40" s="139" t="s">
        <v>182</v>
      </c>
      <c r="G40" s="143">
        <f>SUM(G38:G39)</f>
        <v>2018.4599999999998</v>
      </c>
      <c r="H40" s="143"/>
      <c r="I40" s="143"/>
    </row>
    <row r="41" spans="1:23" outlineLevel="1" x14ac:dyDescent="0.3">
      <c r="A41" s="137" t="s">
        <v>206</v>
      </c>
      <c r="B41" s="137" t="s">
        <v>207</v>
      </c>
      <c r="C41" s="138">
        <v>1</v>
      </c>
      <c r="D41" s="157">
        <v>19.899999999999999</v>
      </c>
      <c r="E41" s="143">
        <f t="shared" si="3"/>
        <v>19.899999999999999</v>
      </c>
      <c r="H41" s="143"/>
      <c r="I41" s="143"/>
    </row>
    <row r="42" spans="1:23" outlineLevel="1" x14ac:dyDescent="0.3">
      <c r="A42" s="146" t="s">
        <v>208</v>
      </c>
      <c r="B42" s="146" t="s">
        <v>209</v>
      </c>
      <c r="C42" s="147">
        <v>1</v>
      </c>
      <c r="D42" s="163">
        <v>309.89999999999998</v>
      </c>
      <c r="E42" s="148">
        <f t="shared" si="3"/>
        <v>309.89999999999998</v>
      </c>
      <c r="H42" s="143"/>
      <c r="I42" s="143"/>
    </row>
    <row r="43" spans="1:23" x14ac:dyDescent="0.3">
      <c r="H43" s="143"/>
      <c r="I43" s="143"/>
    </row>
    <row r="44" spans="1:23" x14ac:dyDescent="0.3">
      <c r="A44" s="142" t="s">
        <v>31</v>
      </c>
      <c r="F44" s="139" t="s">
        <v>170</v>
      </c>
      <c r="G44" s="137">
        <v>3</v>
      </c>
      <c r="H44" s="143">
        <v>941</v>
      </c>
      <c r="I44" s="143">
        <f>H44-G49</f>
        <v>139.84000000000003</v>
      </c>
      <c r="O44" s="265" t="str">
        <f>A44</f>
        <v>Cable upgrade (Lika 12NC)</v>
      </c>
      <c r="P44" s="266">
        <f>100/G49*G47</f>
        <v>66.29886664336712</v>
      </c>
      <c r="Q44" s="180">
        <f>100/G49*G48</f>
        <v>33.701133356632887</v>
      </c>
      <c r="R44" s="137">
        <f>Q44+P44</f>
        <v>100</v>
      </c>
      <c r="S44" s="195">
        <f>IF('TW - ASML Scara XT'!E22&lt;&gt;0,'Calc.'!P44,0)</f>
        <v>0</v>
      </c>
      <c r="T44" s="195">
        <f>IF('TW - ASML Scara XT'!E22&lt;&gt;0,'Calc.'!Q44,0)</f>
        <v>0</v>
      </c>
      <c r="U44" s="212">
        <f>S44*G49/100</f>
        <v>0</v>
      </c>
      <c r="V44" s="212">
        <f>T44*G49/100</f>
        <v>0</v>
      </c>
      <c r="W44" s="143">
        <f>V44+U44</f>
        <v>0</v>
      </c>
    </row>
    <row r="45" spans="1:23" outlineLevel="1" x14ac:dyDescent="0.3">
      <c r="A45" s="279" t="s">
        <v>172</v>
      </c>
      <c r="B45" s="280"/>
      <c r="C45" s="280"/>
      <c r="D45" s="280"/>
      <c r="E45" s="284"/>
      <c r="H45" s="143"/>
      <c r="I45" s="143"/>
    </row>
    <row r="46" spans="1:23" outlineLevel="1" x14ac:dyDescent="0.3">
      <c r="A46" s="144" t="s">
        <v>163</v>
      </c>
      <c r="B46" s="137" t="s">
        <v>174</v>
      </c>
      <c r="C46" s="138" t="s">
        <v>175</v>
      </c>
      <c r="D46" s="137" t="s">
        <v>176</v>
      </c>
      <c r="E46" s="137" t="s">
        <v>177</v>
      </c>
      <c r="F46" s="139" t="s">
        <v>173</v>
      </c>
      <c r="G46" s="137">
        <f>$M$2</f>
        <v>1.4</v>
      </c>
      <c r="H46" s="143"/>
      <c r="I46" s="143"/>
    </row>
    <row r="47" spans="1:23" outlineLevel="1" x14ac:dyDescent="0.3">
      <c r="A47" s="139">
        <v>613052</v>
      </c>
      <c r="B47" s="137" t="s">
        <v>212</v>
      </c>
      <c r="C47" s="138">
        <v>1</v>
      </c>
      <c r="D47" s="157">
        <v>32</v>
      </c>
      <c r="E47" s="143">
        <f t="shared" ref="E47:E49" si="4">D47*C47</f>
        <v>32</v>
      </c>
      <c r="F47" s="139" t="s">
        <v>166</v>
      </c>
      <c r="G47" s="143">
        <f>SUM(E47:E49)*G46</f>
        <v>531.16</v>
      </c>
      <c r="H47" s="143"/>
      <c r="I47" s="143"/>
    </row>
    <row r="48" spans="1:23" outlineLevel="1" x14ac:dyDescent="0.3">
      <c r="A48" s="139">
        <v>510094</v>
      </c>
      <c r="B48" s="137" t="s">
        <v>213</v>
      </c>
      <c r="C48" s="138">
        <v>1</v>
      </c>
      <c r="D48" s="165">
        <v>80.7</v>
      </c>
      <c r="E48" s="143">
        <f t="shared" si="4"/>
        <v>80.7</v>
      </c>
      <c r="F48" s="139" t="s">
        <v>170</v>
      </c>
      <c r="G48" s="143">
        <f>G44*Stundensatz</f>
        <v>270</v>
      </c>
      <c r="H48" s="143"/>
      <c r="I48" s="143"/>
    </row>
    <row r="49" spans="1:23" outlineLevel="1" x14ac:dyDescent="0.3">
      <c r="A49" s="166">
        <v>510095</v>
      </c>
      <c r="B49" s="146" t="s">
        <v>214</v>
      </c>
      <c r="C49" s="147">
        <v>1</v>
      </c>
      <c r="D49" s="163">
        <v>266.7</v>
      </c>
      <c r="E49" s="148">
        <f t="shared" si="4"/>
        <v>266.7</v>
      </c>
      <c r="F49" s="139" t="s">
        <v>182</v>
      </c>
      <c r="G49" s="143">
        <f>SUM(G47:G48)</f>
        <v>801.16</v>
      </c>
      <c r="H49" s="143"/>
      <c r="I49" s="143"/>
    </row>
    <row r="50" spans="1:23" x14ac:dyDescent="0.3">
      <c r="H50" s="143"/>
      <c r="I50" s="143"/>
    </row>
    <row r="51" spans="1:23" x14ac:dyDescent="0.3">
      <c r="A51" s="142" t="s">
        <v>215</v>
      </c>
      <c r="F51" s="139" t="s">
        <v>170</v>
      </c>
      <c r="G51" s="137">
        <v>6</v>
      </c>
      <c r="H51" s="143">
        <v>7885</v>
      </c>
      <c r="I51" s="143">
        <f>H51-G55</f>
        <v>630.76800000000003</v>
      </c>
      <c r="O51" s="265" t="str">
        <f>A51</f>
        <v>MK5 Arm-upgrade Scara / NT</v>
      </c>
      <c r="P51" s="266">
        <f>100/G55*G53</f>
        <v>92.556069339938404</v>
      </c>
      <c r="Q51" s="180">
        <f>100/G55*G54</f>
        <v>7.4439306600616026</v>
      </c>
      <c r="R51" s="137">
        <f>Q51+P51</f>
        <v>100</v>
      </c>
      <c r="S51" s="195">
        <f>IF('TW - ASML Scara XT'!E25&lt;&gt;0,'Calc.'!P51,0)</f>
        <v>0</v>
      </c>
      <c r="T51" s="195">
        <f>IF('TW - ASML Scara XT'!E25&lt;&gt;0,'Calc.'!Q51,0)</f>
        <v>0</v>
      </c>
      <c r="U51" s="212">
        <f>S51*G55/100</f>
        <v>0</v>
      </c>
      <c r="V51" s="212">
        <f>T51*G55/100</f>
        <v>0</v>
      </c>
      <c r="W51" s="143">
        <f>V51+U51</f>
        <v>0</v>
      </c>
    </row>
    <row r="52" spans="1:23" outlineLevel="1" x14ac:dyDescent="0.3">
      <c r="A52" s="279" t="s">
        <v>172</v>
      </c>
      <c r="B52" s="280"/>
      <c r="C52" s="280"/>
      <c r="D52" s="280"/>
      <c r="E52" s="284"/>
      <c r="F52" s="139" t="s">
        <v>173</v>
      </c>
      <c r="G52" s="137">
        <f>$M$2</f>
        <v>1.4</v>
      </c>
      <c r="H52" s="143"/>
      <c r="I52" s="143"/>
    </row>
    <row r="53" spans="1:23" outlineLevel="1" x14ac:dyDescent="0.3">
      <c r="A53" s="137" t="s">
        <v>216</v>
      </c>
      <c r="B53" s="137" t="s">
        <v>217</v>
      </c>
      <c r="C53" s="138">
        <v>1</v>
      </c>
      <c r="D53" s="143">
        <v>4795.88</v>
      </c>
      <c r="E53" s="143">
        <f>D53*C53</f>
        <v>4795.88</v>
      </c>
      <c r="F53" s="139" t="s">
        <v>166</v>
      </c>
      <c r="G53" s="143">
        <f>SUM(E53)*G52</f>
        <v>6714.232</v>
      </c>
      <c r="H53" s="143"/>
      <c r="I53" s="143"/>
    </row>
    <row r="54" spans="1:23" outlineLevel="1" x14ac:dyDescent="0.3">
      <c r="A54" s="146"/>
      <c r="B54" s="146"/>
      <c r="C54" s="147"/>
      <c r="D54" s="148"/>
      <c r="E54" s="164"/>
      <c r="F54" s="139" t="s">
        <v>170</v>
      </c>
      <c r="G54" s="143">
        <f>G51*Stundensatz</f>
        <v>540</v>
      </c>
      <c r="H54" s="143"/>
      <c r="I54" s="143"/>
    </row>
    <row r="55" spans="1:23" x14ac:dyDescent="0.3">
      <c r="F55" s="139" t="s">
        <v>182</v>
      </c>
      <c r="G55" s="143">
        <f>SUM(G53:G54)</f>
        <v>7254.232</v>
      </c>
      <c r="H55" s="143"/>
      <c r="I55" s="143"/>
    </row>
    <row r="56" spans="1:23" x14ac:dyDescent="0.3">
      <c r="G56" s="143"/>
      <c r="H56" s="143"/>
      <c r="I56" s="143"/>
    </row>
    <row r="57" spans="1:23" x14ac:dyDescent="0.3">
      <c r="A57" s="142" t="s">
        <v>34</v>
      </c>
      <c r="G57" s="137">
        <v>0.75</v>
      </c>
      <c r="H57" s="143">
        <v>190</v>
      </c>
      <c r="I57" s="143">
        <f>H57-G61</f>
        <v>0.13999999999998636</v>
      </c>
      <c r="O57" s="265" t="str">
        <f>A57</f>
        <v>add. clamping ring (MK5)</v>
      </c>
      <c r="P57" s="266">
        <f>100/G61*G59</f>
        <v>64.447487622458652</v>
      </c>
      <c r="Q57" s="180">
        <f>100/G61*G60</f>
        <v>35.552512377541348</v>
      </c>
      <c r="R57" s="137">
        <f>Q57+P57</f>
        <v>100</v>
      </c>
      <c r="S57" s="195">
        <f>IF('TW - ASML Scara XT'!E26&lt;&gt;0,'Calc.'!P57,0)</f>
        <v>0</v>
      </c>
      <c r="T57" s="195">
        <f>IF('TW - ASML Scara XT'!E26&lt;&gt;0,'Calc.'!Q57,0)</f>
        <v>0</v>
      </c>
      <c r="U57" s="212">
        <f>S57*G61/100</f>
        <v>0</v>
      </c>
      <c r="V57" s="212">
        <f>T57*G61/100</f>
        <v>0</v>
      </c>
      <c r="W57" s="143">
        <f>V57+U57</f>
        <v>0</v>
      </c>
    </row>
    <row r="58" spans="1:23" outlineLevel="1" x14ac:dyDescent="0.3">
      <c r="A58" s="279" t="s">
        <v>172</v>
      </c>
      <c r="B58" s="280"/>
      <c r="C58" s="280"/>
      <c r="D58" s="280"/>
      <c r="E58" s="284"/>
      <c r="F58" s="139" t="s">
        <v>173</v>
      </c>
      <c r="G58" s="137">
        <f>$M$2</f>
        <v>1.4</v>
      </c>
      <c r="H58" s="143"/>
      <c r="I58" s="143"/>
    </row>
    <row r="59" spans="1:23" outlineLevel="1" x14ac:dyDescent="0.3">
      <c r="A59" s="139">
        <v>609810</v>
      </c>
      <c r="B59" s="137" t="s">
        <v>218</v>
      </c>
      <c r="C59" s="138">
        <v>1</v>
      </c>
      <c r="D59" s="143">
        <v>78.2</v>
      </c>
      <c r="E59" s="143">
        <f t="shared" ref="E59:E60" si="5">D59*C59</f>
        <v>78.2</v>
      </c>
      <c r="F59" s="139" t="s">
        <v>166</v>
      </c>
      <c r="G59" s="143">
        <f>SUM(E59:E60)*G58</f>
        <v>122.36</v>
      </c>
      <c r="H59" s="143"/>
      <c r="I59" s="143"/>
    </row>
    <row r="60" spans="1:23" outlineLevel="1" x14ac:dyDescent="0.3">
      <c r="A60" s="139">
        <v>610471</v>
      </c>
      <c r="B60" s="137" t="s">
        <v>219</v>
      </c>
      <c r="C60" s="138">
        <v>1</v>
      </c>
      <c r="D60" s="143">
        <v>9.1999999999999993</v>
      </c>
      <c r="E60" s="143">
        <f t="shared" si="5"/>
        <v>9.1999999999999993</v>
      </c>
      <c r="F60" s="139" t="s">
        <v>170</v>
      </c>
      <c r="G60" s="143">
        <f>G57*Stundensatz</f>
        <v>67.5</v>
      </c>
      <c r="H60" s="143"/>
      <c r="I60" s="143"/>
    </row>
    <row r="61" spans="1:23" outlineLevel="1" x14ac:dyDescent="0.3">
      <c r="A61" s="166"/>
      <c r="B61" s="146"/>
      <c r="C61" s="147"/>
      <c r="D61" s="146"/>
      <c r="E61" s="146"/>
      <c r="F61" s="139" t="s">
        <v>182</v>
      </c>
      <c r="G61" s="143">
        <f>SUM(G59:G60)</f>
        <v>189.86</v>
      </c>
    </row>
    <row r="63" spans="1:23" x14ac:dyDescent="0.3">
      <c r="A63" s="142" t="s">
        <v>35</v>
      </c>
      <c r="F63" s="139" t="s">
        <v>170</v>
      </c>
      <c r="G63" s="137">
        <v>1</v>
      </c>
      <c r="H63" s="167">
        <v>295</v>
      </c>
      <c r="I63" s="143">
        <f>H63-G67</f>
        <v>39.870000000000033</v>
      </c>
      <c r="O63" s="265" t="str">
        <f>A63</f>
        <v>MK5 DM-upgrade (interface)</v>
      </c>
      <c r="P63" s="266">
        <f>100/G67*G65</f>
        <v>64.723866264257424</v>
      </c>
      <c r="Q63" s="180">
        <f>100/G67*G66</f>
        <v>35.276133735742562</v>
      </c>
      <c r="R63" s="137">
        <f>Q63+P63</f>
        <v>99.999999999999986</v>
      </c>
      <c r="S63" s="195">
        <f>IF('TW - ASML Scara XT'!E27&lt;&gt;0,'Calc.'!P63,0)</f>
        <v>0</v>
      </c>
      <c r="T63" s="195">
        <f>IF('TW - ASML Scara XT'!E27&lt;&gt;0,'Calc.'!Q63,0)</f>
        <v>0</v>
      </c>
      <c r="U63" s="212">
        <f>S63*G67/100</f>
        <v>0</v>
      </c>
      <c r="V63" s="212">
        <f>T63*G67/100</f>
        <v>0</v>
      </c>
      <c r="W63" s="143">
        <f>V63+U63</f>
        <v>0</v>
      </c>
    </row>
    <row r="64" spans="1:23" outlineLevel="1" x14ac:dyDescent="0.3">
      <c r="A64" s="279" t="s">
        <v>172</v>
      </c>
      <c r="B64" s="280"/>
      <c r="C64" s="280"/>
      <c r="D64" s="280"/>
      <c r="E64" s="284"/>
      <c r="F64" s="139" t="s">
        <v>173</v>
      </c>
      <c r="G64" s="137">
        <f>$M$2</f>
        <v>1.4</v>
      </c>
    </row>
    <row r="65" spans="1:23" outlineLevel="1" x14ac:dyDescent="0.3">
      <c r="A65" s="139">
        <v>610854</v>
      </c>
      <c r="B65" s="137" t="s">
        <v>220</v>
      </c>
      <c r="C65" s="138">
        <v>1</v>
      </c>
      <c r="D65" s="143">
        <v>94.8</v>
      </c>
      <c r="E65" s="143">
        <f t="shared" ref="E65:E66" si="6">D65*C65</f>
        <v>94.8</v>
      </c>
      <c r="F65" s="139" t="s">
        <v>166</v>
      </c>
      <c r="G65" s="143">
        <f>SUM(E65:E66)*G64</f>
        <v>165.12999999999997</v>
      </c>
    </row>
    <row r="66" spans="1:23" outlineLevel="1" x14ac:dyDescent="0.3">
      <c r="A66" s="139">
        <v>604336</v>
      </c>
      <c r="B66" s="137" t="s">
        <v>221</v>
      </c>
      <c r="C66" s="138">
        <v>1</v>
      </c>
      <c r="D66" s="143">
        <v>23.15</v>
      </c>
      <c r="E66" s="143">
        <f t="shared" si="6"/>
        <v>23.15</v>
      </c>
      <c r="F66" s="139" t="s">
        <v>170</v>
      </c>
      <c r="G66" s="143">
        <f>G63*Stundensatz</f>
        <v>90</v>
      </c>
    </row>
    <row r="67" spans="1:23" outlineLevel="1" x14ac:dyDescent="0.3">
      <c r="A67" s="146"/>
      <c r="B67" s="146"/>
      <c r="C67" s="147"/>
      <c r="D67" s="146"/>
      <c r="E67" s="146"/>
      <c r="F67" s="139" t="s">
        <v>182</v>
      </c>
      <c r="G67" s="143">
        <f>SUM(G65:G66)</f>
        <v>255.12999999999997</v>
      </c>
    </row>
    <row r="68" spans="1:23" outlineLevel="1" x14ac:dyDescent="0.3">
      <c r="G68" s="143"/>
    </row>
    <row r="69" spans="1:23" outlineLevel="1" x14ac:dyDescent="0.3">
      <c r="A69" s="142" t="s">
        <v>222</v>
      </c>
      <c r="G69" s="143"/>
    </row>
    <row r="70" spans="1:23" outlineLevel="1" x14ac:dyDescent="0.3">
      <c r="A70" s="137" t="s">
        <v>223</v>
      </c>
      <c r="G70" s="143">
        <f>G226+G175</f>
        <v>669.3</v>
      </c>
    </row>
    <row r="72" spans="1:23" x14ac:dyDescent="0.3">
      <c r="A72" s="142" t="s">
        <v>36</v>
      </c>
      <c r="F72" s="139" t="s">
        <v>170</v>
      </c>
      <c r="G72" s="137">
        <v>4.5</v>
      </c>
      <c r="H72" s="167">
        <v>1080.3</v>
      </c>
      <c r="I72" s="143">
        <f>H72-G77</f>
        <v>218.81572000000006</v>
      </c>
      <c r="O72" s="265" t="str">
        <f>A72</f>
        <v>MK5 Z-upgrade</v>
      </c>
      <c r="P72" s="266">
        <f>100/G77*G75</f>
        <v>52.988114884696444</v>
      </c>
      <c r="Q72" s="180">
        <f>100/G77*G76</f>
        <v>47.011885115303564</v>
      </c>
      <c r="R72" s="137">
        <f>Q72+P72</f>
        <v>100</v>
      </c>
      <c r="S72" s="195">
        <f>IF('TW - ASML Scara XT'!E29&lt;&gt;0,'Calc.'!P72,0)</f>
        <v>0</v>
      </c>
      <c r="T72" s="195">
        <f>IF('TW - ASML Scara XT'!E29&lt;&gt;0,'Calc.'!Q72,0)</f>
        <v>0</v>
      </c>
      <c r="U72" s="212">
        <f>S72*G77/100</f>
        <v>0</v>
      </c>
      <c r="V72" s="212">
        <f>T72*G77/100</f>
        <v>0</v>
      </c>
      <c r="W72" s="143">
        <f>V72+U72</f>
        <v>0</v>
      </c>
    </row>
    <row r="73" spans="1:23" outlineLevel="1" x14ac:dyDescent="0.3">
      <c r="A73" s="279" t="s">
        <v>172</v>
      </c>
      <c r="B73" s="280"/>
      <c r="C73" s="280"/>
      <c r="D73" s="280"/>
      <c r="E73" s="284"/>
    </row>
    <row r="74" spans="1:23" outlineLevel="1" x14ac:dyDescent="0.3">
      <c r="A74" s="139">
        <v>610902</v>
      </c>
      <c r="B74" s="137" t="s">
        <v>224</v>
      </c>
      <c r="C74" s="138">
        <v>1</v>
      </c>
      <c r="D74" s="143">
        <v>249.7</v>
      </c>
      <c r="E74" s="143">
        <f t="shared" ref="E74:E78" si="7">D74*C74</f>
        <v>249.7</v>
      </c>
      <c r="F74" s="139" t="s">
        <v>173</v>
      </c>
      <c r="G74" s="137">
        <f>$M$2</f>
        <v>1.4</v>
      </c>
    </row>
    <row r="75" spans="1:23" outlineLevel="1" x14ac:dyDescent="0.3">
      <c r="A75" s="139">
        <v>609808</v>
      </c>
      <c r="B75" s="137" t="s">
        <v>200</v>
      </c>
      <c r="C75" s="138">
        <v>1</v>
      </c>
      <c r="D75" s="143">
        <v>47.1</v>
      </c>
      <c r="E75" s="143">
        <f t="shared" si="7"/>
        <v>47.1</v>
      </c>
      <c r="F75" s="139" t="s">
        <v>166</v>
      </c>
      <c r="G75" s="143">
        <f>SUM(E74:E78)*G74</f>
        <v>456.48427999999996</v>
      </c>
    </row>
    <row r="76" spans="1:23" outlineLevel="1" x14ac:dyDescent="0.3">
      <c r="A76" s="139">
        <v>610905</v>
      </c>
      <c r="B76" s="137" t="s">
        <v>225</v>
      </c>
      <c r="C76" s="138">
        <v>3</v>
      </c>
      <c r="D76" s="143">
        <v>2.85</v>
      </c>
      <c r="E76" s="143">
        <f t="shared" si="7"/>
        <v>8.5500000000000007</v>
      </c>
      <c r="F76" s="139" t="s">
        <v>170</v>
      </c>
      <c r="G76" s="143">
        <f>G72*Stundensatz</f>
        <v>405</v>
      </c>
    </row>
    <row r="77" spans="1:23" outlineLevel="1" x14ac:dyDescent="0.3">
      <c r="A77" s="139">
        <v>611173</v>
      </c>
      <c r="B77" s="137" t="s">
        <v>226</v>
      </c>
      <c r="C77" s="138">
        <v>1</v>
      </c>
      <c r="D77" s="143">
        <v>18.75</v>
      </c>
      <c r="E77" s="143">
        <f t="shared" si="7"/>
        <v>18.75</v>
      </c>
      <c r="F77" s="139" t="s">
        <v>182</v>
      </c>
      <c r="G77" s="143">
        <f>SUM(G75:G76)</f>
        <v>861.4842799999999</v>
      </c>
    </row>
    <row r="78" spans="1:23" outlineLevel="1" x14ac:dyDescent="0.3">
      <c r="A78" s="166" t="s">
        <v>227</v>
      </c>
      <c r="B78" s="146" t="s">
        <v>228</v>
      </c>
      <c r="C78" s="147">
        <v>3</v>
      </c>
      <c r="D78" s="148">
        <f>65.34/100</f>
        <v>0.65339999999999998</v>
      </c>
      <c r="E78" s="148">
        <f t="shared" si="7"/>
        <v>1.9601999999999999</v>
      </c>
    </row>
    <row r="80" spans="1:23" x14ac:dyDescent="0.3">
      <c r="A80" s="142" t="s">
        <v>39</v>
      </c>
      <c r="F80" s="139" t="s">
        <v>170</v>
      </c>
      <c r="G80" s="137">
        <v>2.5</v>
      </c>
      <c r="H80" s="167">
        <v>1389</v>
      </c>
      <c r="I80" s="143">
        <f>H80-G85</f>
        <v>231.99200000000019</v>
      </c>
      <c r="O80" s="265" t="str">
        <f>A80</f>
        <v>Upper arm housing (RWD upgrade)</v>
      </c>
      <c r="P80" s="266">
        <f>100/G85*G83</f>
        <v>80.553289173454303</v>
      </c>
      <c r="Q80" s="180">
        <f>100/G85*G84</f>
        <v>19.446710826545715</v>
      </c>
      <c r="R80" s="137">
        <f>Q80+P80</f>
        <v>100.00000000000001</v>
      </c>
      <c r="S80" s="195">
        <f>IF('TW - ASML Scara XT'!E35&lt;&gt;0,'Calc.'!P80,0)</f>
        <v>0</v>
      </c>
      <c r="T80" s="195">
        <f>IF('TW - ASML Scara XT'!E35&lt;&gt;0,'Calc.'!Q80,0)</f>
        <v>0</v>
      </c>
      <c r="U80" s="212">
        <f>S80*G85/100</f>
        <v>0</v>
      </c>
      <c r="V80" s="212">
        <f>T80*G85/100</f>
        <v>0</v>
      </c>
      <c r="W80" s="143">
        <f>V80+U80</f>
        <v>0</v>
      </c>
    </row>
    <row r="81" spans="1:23" outlineLevel="1" x14ac:dyDescent="0.3">
      <c r="A81" s="279" t="s">
        <v>172</v>
      </c>
      <c r="B81" s="280"/>
      <c r="C81" s="280"/>
      <c r="D81" s="280"/>
      <c r="E81" s="284"/>
    </row>
    <row r="82" spans="1:23" outlineLevel="1" x14ac:dyDescent="0.3">
      <c r="A82" s="139">
        <v>610846</v>
      </c>
      <c r="B82" s="137" t="s">
        <v>229</v>
      </c>
      <c r="C82" s="138">
        <v>1</v>
      </c>
      <c r="D82" s="137">
        <v>457.12</v>
      </c>
      <c r="E82" s="143">
        <f t="shared" ref="E82:E88" si="8">D82*C82</f>
        <v>457.12</v>
      </c>
      <c r="F82" s="139" t="s">
        <v>173</v>
      </c>
      <c r="G82" s="137">
        <f>$M$2</f>
        <v>1.4</v>
      </c>
    </row>
    <row r="83" spans="1:23" outlineLevel="1" x14ac:dyDescent="0.3">
      <c r="A83" s="139">
        <v>609673</v>
      </c>
      <c r="B83" s="137" t="s">
        <v>230</v>
      </c>
      <c r="C83" s="138">
        <v>1</v>
      </c>
      <c r="D83" s="137">
        <v>2.75</v>
      </c>
      <c r="E83" s="143">
        <f t="shared" si="8"/>
        <v>2.75</v>
      </c>
      <c r="F83" s="139" t="s">
        <v>166</v>
      </c>
      <c r="G83" s="143">
        <f>SUM(E82:E88)*G82</f>
        <v>932.00799999999992</v>
      </c>
    </row>
    <row r="84" spans="1:23" outlineLevel="1" x14ac:dyDescent="0.3">
      <c r="A84" s="139">
        <v>610839</v>
      </c>
      <c r="B84" s="137" t="s">
        <v>231</v>
      </c>
      <c r="C84" s="138">
        <v>1</v>
      </c>
      <c r="D84" s="137">
        <v>21.38</v>
      </c>
      <c r="E84" s="143">
        <f t="shared" si="8"/>
        <v>21.38</v>
      </c>
      <c r="F84" s="139" t="s">
        <v>170</v>
      </c>
      <c r="G84" s="143">
        <f>G80*Stundensatz</f>
        <v>225</v>
      </c>
    </row>
    <row r="85" spans="1:23" outlineLevel="1" x14ac:dyDescent="0.3">
      <c r="A85" s="139">
        <v>610840</v>
      </c>
      <c r="B85" s="137" t="s">
        <v>232</v>
      </c>
      <c r="C85" s="138">
        <v>1</v>
      </c>
      <c r="D85" s="137">
        <v>70.45</v>
      </c>
      <c r="E85" s="143">
        <f t="shared" si="8"/>
        <v>70.45</v>
      </c>
      <c r="F85" s="139" t="s">
        <v>182</v>
      </c>
      <c r="G85" s="143">
        <f>SUM(G83:G84)</f>
        <v>1157.0079999999998</v>
      </c>
    </row>
    <row r="86" spans="1:23" outlineLevel="1" x14ac:dyDescent="0.3">
      <c r="A86" s="139" t="s">
        <v>233</v>
      </c>
      <c r="B86" s="137" t="s">
        <v>234</v>
      </c>
      <c r="C86" s="138">
        <v>1</v>
      </c>
      <c r="D86" s="137">
        <v>6.97</v>
      </c>
      <c r="E86" s="143">
        <f t="shared" si="8"/>
        <v>6.97</v>
      </c>
    </row>
    <row r="87" spans="1:23" outlineLevel="1" x14ac:dyDescent="0.3">
      <c r="A87" s="139" t="s">
        <v>235</v>
      </c>
      <c r="B87" s="137" t="s">
        <v>236</v>
      </c>
      <c r="C87" s="138">
        <v>1</v>
      </c>
      <c r="D87" s="137">
        <v>104.17</v>
      </c>
      <c r="E87" s="143">
        <f t="shared" si="8"/>
        <v>104.17</v>
      </c>
    </row>
    <row r="88" spans="1:23" outlineLevel="1" x14ac:dyDescent="0.3">
      <c r="A88" s="166" t="s">
        <v>237</v>
      </c>
      <c r="B88" s="146" t="s">
        <v>238</v>
      </c>
      <c r="C88" s="147">
        <v>2</v>
      </c>
      <c r="D88" s="146">
        <v>1.44</v>
      </c>
      <c r="E88" s="148">
        <f t="shared" si="8"/>
        <v>2.88</v>
      </c>
    </row>
    <row r="89" spans="1:23" x14ac:dyDescent="0.3">
      <c r="A89" s="139"/>
      <c r="E89" s="143"/>
    </row>
    <row r="90" spans="1:23" x14ac:dyDescent="0.3">
      <c r="A90" s="139"/>
      <c r="E90" s="143"/>
    </row>
    <row r="91" spans="1:23" x14ac:dyDescent="0.3">
      <c r="A91" s="168" t="s">
        <v>239</v>
      </c>
      <c r="B91" s="169"/>
      <c r="F91" s="139" t="s">
        <v>170</v>
      </c>
      <c r="G91" s="137">
        <v>2.5</v>
      </c>
      <c r="H91" s="167">
        <v>1389</v>
      </c>
      <c r="I91" s="143">
        <f>H91-G96</f>
        <v>490.25</v>
      </c>
      <c r="O91" s="265" t="str">
        <f>A91</f>
        <v>Upper arm housing (housing part only/already RWD)</v>
      </c>
      <c r="P91" s="266">
        <f>100/G96*G94</f>
        <v>74.965229485396392</v>
      </c>
      <c r="Q91" s="180">
        <f>100/G96*G95</f>
        <v>25.034770514603618</v>
      </c>
      <c r="R91" s="137">
        <f>Q91+P91</f>
        <v>100.00000000000001</v>
      </c>
      <c r="S91" s="195">
        <f>IF('TW - ASML Scara XT'!E36&lt;&gt;0,'Calc.'!P91,0)</f>
        <v>0</v>
      </c>
      <c r="T91" s="195">
        <f>IF('TW - ASML Scara XT'!E36&lt;&gt;0,'Calc.'!Q91,0)</f>
        <v>0</v>
      </c>
      <c r="U91" s="212">
        <f>S91*G96/100</f>
        <v>0</v>
      </c>
      <c r="V91" s="212">
        <f>T91*G96/100</f>
        <v>0</v>
      </c>
      <c r="W91" s="143">
        <f>V91+U91</f>
        <v>0</v>
      </c>
    </row>
    <row r="92" spans="1:23" x14ac:dyDescent="0.3">
      <c r="A92" s="279" t="s">
        <v>172</v>
      </c>
      <c r="B92" s="280"/>
      <c r="C92" s="280"/>
      <c r="D92" s="280"/>
      <c r="E92" s="284"/>
    </row>
    <row r="93" spans="1:23" x14ac:dyDescent="0.3">
      <c r="A93" s="170">
        <v>610846</v>
      </c>
      <c r="B93" s="137" t="s">
        <v>229</v>
      </c>
      <c r="C93" s="138">
        <v>1</v>
      </c>
      <c r="D93" s="137">
        <v>457.12</v>
      </c>
      <c r="E93" s="143">
        <f t="shared" ref="E93:E95" si="9">D93*C93</f>
        <v>457.12</v>
      </c>
      <c r="F93" s="139" t="s">
        <v>173</v>
      </c>
      <c r="G93" s="137">
        <f>$M$2</f>
        <v>1.4</v>
      </c>
    </row>
    <row r="94" spans="1:23" x14ac:dyDescent="0.3">
      <c r="A94" s="170">
        <v>609673</v>
      </c>
      <c r="B94" s="137" t="s">
        <v>230</v>
      </c>
      <c r="C94" s="138">
        <v>1</v>
      </c>
      <c r="D94" s="137">
        <v>2.75</v>
      </c>
      <c r="E94" s="143">
        <f t="shared" si="9"/>
        <v>2.75</v>
      </c>
      <c r="F94" s="139" t="s">
        <v>166</v>
      </c>
      <c r="G94" s="143">
        <f>SUM(E93:E99)*G93</f>
        <v>673.75</v>
      </c>
    </row>
    <row r="95" spans="1:23" x14ac:dyDescent="0.3">
      <c r="A95" s="170">
        <v>610839</v>
      </c>
      <c r="B95" s="137" t="s">
        <v>231</v>
      </c>
      <c r="C95" s="138">
        <v>1</v>
      </c>
      <c r="D95" s="137">
        <v>21.38</v>
      </c>
      <c r="E95" s="143">
        <f t="shared" si="9"/>
        <v>21.38</v>
      </c>
      <c r="F95" s="139" t="s">
        <v>170</v>
      </c>
      <c r="G95" s="143">
        <f>G91*Stundensatz</f>
        <v>225</v>
      </c>
    </row>
    <row r="96" spans="1:23" x14ac:dyDescent="0.3">
      <c r="A96" s="170"/>
      <c r="E96" s="143"/>
      <c r="F96" s="139" t="s">
        <v>182</v>
      </c>
      <c r="G96" s="143">
        <f>SUM(G94:G95)</f>
        <v>898.75</v>
      </c>
    </row>
    <row r="97" spans="1:23" x14ac:dyDescent="0.3">
      <c r="A97" s="170"/>
      <c r="E97" s="143"/>
    </row>
    <row r="98" spans="1:23" x14ac:dyDescent="0.3">
      <c r="A98" s="170"/>
      <c r="E98" s="143"/>
    </row>
    <row r="99" spans="1:23" x14ac:dyDescent="0.3">
      <c r="A99" s="171"/>
      <c r="B99" s="146"/>
      <c r="C99" s="147"/>
      <c r="D99" s="146"/>
      <c r="E99" s="148"/>
    </row>
    <row r="100" spans="1:23" x14ac:dyDescent="0.3">
      <c r="E100" s="143"/>
    </row>
    <row r="101" spans="1:23" x14ac:dyDescent="0.3">
      <c r="A101" s="142" t="s">
        <v>41</v>
      </c>
      <c r="E101" s="143"/>
      <c r="F101" s="139" t="s">
        <v>170</v>
      </c>
      <c r="G101" s="137">
        <v>2</v>
      </c>
      <c r="H101" s="167">
        <v>1112.5</v>
      </c>
      <c r="I101" s="143">
        <f>H101-G105</f>
        <v>219.83000000000004</v>
      </c>
      <c r="O101" s="265" t="str">
        <f>A101</f>
        <v>Upper arm lid</v>
      </c>
      <c r="P101" s="266">
        <f>100/G105*G103</f>
        <v>79.835773578141982</v>
      </c>
      <c r="Q101" s="180">
        <f>100/G105*G104</f>
        <v>20.164226421858022</v>
      </c>
      <c r="R101" s="137">
        <f>Q101+P101</f>
        <v>100</v>
      </c>
      <c r="S101" s="195">
        <f>IF('TW - ASML Scara XT'!E37&lt;&gt;0,'Calc.'!P101,0)</f>
        <v>0</v>
      </c>
      <c r="T101" s="195">
        <f>IF('TW - ASML Scara XT'!E37&lt;&gt;0,'Calc.'!Q101,0)</f>
        <v>0</v>
      </c>
      <c r="U101" s="212">
        <f>S101*G105/100</f>
        <v>0</v>
      </c>
      <c r="V101" s="212">
        <f>T101*G105/100</f>
        <v>0</v>
      </c>
      <c r="W101" s="143">
        <f>V101+U101</f>
        <v>0</v>
      </c>
    </row>
    <row r="102" spans="1:23" outlineLevel="1" x14ac:dyDescent="0.3">
      <c r="A102" s="279" t="s">
        <v>172</v>
      </c>
      <c r="B102" s="280"/>
      <c r="C102" s="280"/>
      <c r="D102" s="280"/>
      <c r="E102" s="284"/>
      <c r="F102" s="139" t="s">
        <v>173</v>
      </c>
      <c r="G102" s="137">
        <f>$M$2</f>
        <v>1.4</v>
      </c>
    </row>
    <row r="103" spans="1:23" outlineLevel="1" x14ac:dyDescent="0.3">
      <c r="A103" s="139">
        <v>609641</v>
      </c>
      <c r="B103" s="137" t="s">
        <v>240</v>
      </c>
      <c r="C103" s="138">
        <v>1</v>
      </c>
      <c r="D103" s="137">
        <v>354.14</v>
      </c>
      <c r="E103" s="143">
        <f t="shared" ref="E103:E108" si="10">D103*C103</f>
        <v>354.14</v>
      </c>
      <c r="F103" s="139" t="s">
        <v>166</v>
      </c>
      <c r="G103" s="143">
        <f>SUM(E103:E108)*G102</f>
        <v>712.67</v>
      </c>
    </row>
    <row r="104" spans="1:23" outlineLevel="1" x14ac:dyDescent="0.3">
      <c r="A104" s="139">
        <v>604405</v>
      </c>
      <c r="B104" s="137" t="s">
        <v>241</v>
      </c>
      <c r="C104" s="138">
        <v>1</v>
      </c>
      <c r="D104" s="242">
        <v>120</v>
      </c>
      <c r="E104" s="143">
        <f t="shared" si="10"/>
        <v>120</v>
      </c>
      <c r="F104" s="139" t="s">
        <v>170</v>
      </c>
      <c r="G104" s="143">
        <f>G101*Stundensatz</f>
        <v>180</v>
      </c>
      <c r="I104" s="267" t="s">
        <v>242</v>
      </c>
      <c r="J104" s="241"/>
      <c r="K104" s="241"/>
      <c r="L104" s="241"/>
      <c r="M104" s="241"/>
    </row>
    <row r="105" spans="1:23" outlineLevel="1" x14ac:dyDescent="0.3">
      <c r="A105" s="139">
        <v>609672</v>
      </c>
      <c r="B105" s="137" t="s">
        <v>243</v>
      </c>
      <c r="C105" s="138">
        <v>1</v>
      </c>
      <c r="D105" s="137">
        <v>5.32</v>
      </c>
      <c r="E105" s="143">
        <f t="shared" si="10"/>
        <v>5.32</v>
      </c>
      <c r="F105" s="139" t="s">
        <v>182</v>
      </c>
      <c r="G105" s="143">
        <f>SUM(G103:G104)</f>
        <v>892.67</v>
      </c>
      <c r="I105" s="267" t="s">
        <v>244</v>
      </c>
      <c r="J105" s="241"/>
      <c r="K105" s="241"/>
      <c r="L105" s="241"/>
      <c r="M105" s="241"/>
    </row>
    <row r="106" spans="1:23" outlineLevel="1" x14ac:dyDescent="0.3">
      <c r="A106" s="139">
        <v>612038</v>
      </c>
      <c r="B106" s="137" t="s">
        <v>245</v>
      </c>
      <c r="C106" s="138">
        <v>1</v>
      </c>
      <c r="D106" s="137">
        <v>13.06</v>
      </c>
      <c r="E106" s="143">
        <f t="shared" si="10"/>
        <v>13.06</v>
      </c>
    </row>
    <row r="107" spans="1:23" outlineLevel="1" x14ac:dyDescent="0.3">
      <c r="A107" s="139">
        <v>604404</v>
      </c>
      <c r="B107" s="137" t="s">
        <v>246</v>
      </c>
      <c r="C107" s="138">
        <v>1</v>
      </c>
      <c r="D107" s="137">
        <v>5.43</v>
      </c>
      <c r="E107" s="143">
        <f t="shared" si="10"/>
        <v>5.43</v>
      </c>
    </row>
    <row r="108" spans="1:23" outlineLevel="1" x14ac:dyDescent="0.3">
      <c r="A108" s="146" t="s">
        <v>247</v>
      </c>
      <c r="B108" s="146" t="s">
        <v>248</v>
      </c>
      <c r="C108" s="147">
        <v>1</v>
      </c>
      <c r="D108" s="146">
        <v>11.1</v>
      </c>
      <c r="E108" s="148">
        <f t="shared" si="10"/>
        <v>11.1</v>
      </c>
    </row>
    <row r="110" spans="1:23" x14ac:dyDescent="0.3">
      <c r="A110" s="142" t="s">
        <v>42</v>
      </c>
      <c r="F110" s="139" t="s">
        <v>170</v>
      </c>
      <c r="G110" s="137">
        <v>2.5</v>
      </c>
      <c r="H110" s="167">
        <v>1469</v>
      </c>
      <c r="I110" s="143">
        <f>H110-G115</f>
        <v>346.65600000000018</v>
      </c>
      <c r="O110" s="265" t="str">
        <f>A110</f>
        <v>Lower arm  housing (RWD upgrade)</v>
      </c>
      <c r="P110" s="266">
        <f>100/G115*G113</f>
        <v>79.95267048249022</v>
      </c>
      <c r="Q110" s="180">
        <f>100/G115*G114</f>
        <v>20.047329517509787</v>
      </c>
      <c r="R110" s="137">
        <f>Q110+P110</f>
        <v>100</v>
      </c>
      <c r="S110" s="195">
        <f>IF('TW - ASML Scara XT'!E38&lt;&gt;0,'Calc.'!P110,0)</f>
        <v>0</v>
      </c>
      <c r="T110" s="195">
        <f>IF('TW - ASML Scara XT'!E38&lt;&gt;0,'Calc.'!Q110,0)</f>
        <v>0</v>
      </c>
      <c r="U110" s="212">
        <f>S110*G115/100</f>
        <v>0</v>
      </c>
      <c r="V110" s="212">
        <f>T110*G115/100</f>
        <v>0</v>
      </c>
      <c r="W110" s="143">
        <f>V110+U110</f>
        <v>0</v>
      </c>
    </row>
    <row r="111" spans="1:23" outlineLevel="1" x14ac:dyDescent="0.3">
      <c r="A111" s="279" t="s">
        <v>172</v>
      </c>
      <c r="B111" s="280"/>
      <c r="C111" s="280"/>
      <c r="D111" s="280"/>
      <c r="E111" s="284"/>
    </row>
    <row r="112" spans="1:23" outlineLevel="1" x14ac:dyDescent="0.3">
      <c r="A112" s="156">
        <v>611656</v>
      </c>
      <c r="B112" s="137" t="s">
        <v>249</v>
      </c>
      <c r="C112" s="138">
        <v>1</v>
      </c>
      <c r="D112" s="137">
        <v>378.58</v>
      </c>
      <c r="E112" s="143">
        <f t="shared" ref="E112:E119" si="11">D112*C112</f>
        <v>378.58</v>
      </c>
      <c r="F112" s="139" t="s">
        <v>173</v>
      </c>
      <c r="G112" s="137">
        <f>$M$2</f>
        <v>1.4</v>
      </c>
    </row>
    <row r="113" spans="1:23" outlineLevel="1" x14ac:dyDescent="0.3">
      <c r="A113" s="156">
        <v>610457</v>
      </c>
      <c r="B113" s="137" t="s">
        <v>250</v>
      </c>
      <c r="C113" s="138">
        <v>1</v>
      </c>
      <c r="D113" s="137">
        <v>11.03</v>
      </c>
      <c r="E113" s="143">
        <f t="shared" si="11"/>
        <v>11.03</v>
      </c>
      <c r="F113" s="139" t="s">
        <v>166</v>
      </c>
      <c r="G113" s="143">
        <f>SUM(E112:E119)*G112</f>
        <v>897.34399999999982</v>
      </c>
    </row>
    <row r="114" spans="1:23" outlineLevel="1" x14ac:dyDescent="0.3">
      <c r="A114" s="156">
        <v>609709</v>
      </c>
      <c r="B114" s="137" t="s">
        <v>251</v>
      </c>
      <c r="C114" s="138">
        <v>1</v>
      </c>
      <c r="D114" s="137">
        <v>5.01</v>
      </c>
      <c r="E114" s="143">
        <f t="shared" si="11"/>
        <v>5.01</v>
      </c>
      <c r="F114" s="139" t="s">
        <v>170</v>
      </c>
      <c r="G114" s="143">
        <f>G110*Stundensatz</f>
        <v>225</v>
      </c>
    </row>
    <row r="115" spans="1:23" outlineLevel="1" x14ac:dyDescent="0.3">
      <c r="A115" s="156">
        <v>611657</v>
      </c>
      <c r="B115" s="137" t="s">
        <v>252</v>
      </c>
      <c r="C115" s="138">
        <v>1</v>
      </c>
      <c r="D115" s="137">
        <v>16.149999999999999</v>
      </c>
      <c r="E115" s="143">
        <f t="shared" si="11"/>
        <v>16.149999999999999</v>
      </c>
      <c r="F115" s="139" t="s">
        <v>182</v>
      </c>
      <c r="G115" s="143">
        <f>SUM(G113:G114)</f>
        <v>1122.3439999999998</v>
      </c>
    </row>
    <row r="116" spans="1:23" outlineLevel="1" x14ac:dyDescent="0.3">
      <c r="A116" s="156">
        <v>610841</v>
      </c>
      <c r="B116" s="137" t="s">
        <v>253</v>
      </c>
      <c r="C116" s="138">
        <v>1</v>
      </c>
      <c r="D116" s="137">
        <v>48.39</v>
      </c>
      <c r="E116" s="143">
        <f t="shared" si="11"/>
        <v>48.39</v>
      </c>
    </row>
    <row r="117" spans="1:23" outlineLevel="1" x14ac:dyDescent="0.3">
      <c r="A117" s="156" t="s">
        <v>254</v>
      </c>
      <c r="B117" s="137" t="s">
        <v>255</v>
      </c>
      <c r="C117" s="138">
        <v>1</v>
      </c>
      <c r="D117" s="137">
        <v>162.83000000000001</v>
      </c>
      <c r="E117" s="143">
        <f t="shared" si="11"/>
        <v>162.83000000000001</v>
      </c>
    </row>
    <row r="118" spans="1:23" outlineLevel="1" x14ac:dyDescent="0.3">
      <c r="A118" s="156">
        <v>610850</v>
      </c>
      <c r="B118" s="137" t="s">
        <v>256</v>
      </c>
      <c r="C118" s="138">
        <v>1</v>
      </c>
      <c r="D118" s="137">
        <v>8.09</v>
      </c>
      <c r="E118" s="143">
        <f t="shared" si="11"/>
        <v>8.09</v>
      </c>
    </row>
    <row r="119" spans="1:23" outlineLevel="1" x14ac:dyDescent="0.3">
      <c r="A119" s="145" t="s">
        <v>237</v>
      </c>
      <c r="B119" s="146" t="s">
        <v>257</v>
      </c>
      <c r="C119" s="147">
        <v>2</v>
      </c>
      <c r="D119" s="146">
        <v>5.44</v>
      </c>
      <c r="E119" s="148">
        <f t="shared" si="11"/>
        <v>10.88</v>
      </c>
    </row>
    <row r="120" spans="1:23" x14ac:dyDescent="0.3">
      <c r="A120" s="139"/>
      <c r="E120" s="143"/>
    </row>
    <row r="121" spans="1:23" x14ac:dyDescent="0.3">
      <c r="A121" s="139"/>
      <c r="E121" s="143"/>
    </row>
    <row r="122" spans="1:23" x14ac:dyDescent="0.3">
      <c r="A122" s="168" t="s">
        <v>258</v>
      </c>
      <c r="B122" s="169"/>
      <c r="F122" s="139" t="s">
        <v>170</v>
      </c>
      <c r="G122" s="137">
        <v>2.5</v>
      </c>
      <c r="H122" s="167">
        <v>1469</v>
      </c>
      <c r="I122" s="143">
        <f>H122-G127</f>
        <v>668.92200000000014</v>
      </c>
      <c r="O122" s="265" t="str">
        <f>A122</f>
        <v>Lower arm  housing (housing part only/already RWD)</v>
      </c>
      <c r="P122" s="266">
        <f>100/G127*G125</f>
        <v>71.877741920162777</v>
      </c>
      <c r="Q122" s="180">
        <f>100/G127*G126</f>
        <v>28.122258079837223</v>
      </c>
      <c r="R122" s="137">
        <f>Q122+P122</f>
        <v>100</v>
      </c>
      <c r="S122" s="195">
        <f>IF('TW - ASML Scara XT'!E39&lt;&gt;0,'Calc.'!P122,0)</f>
        <v>0</v>
      </c>
      <c r="T122" s="195">
        <f>IF('TW - ASML Scara XT'!E39&lt;&gt;0,'Calc.'!Q122,0)</f>
        <v>0</v>
      </c>
      <c r="U122" s="212">
        <f>S122*G127/100</f>
        <v>0</v>
      </c>
      <c r="V122" s="212">
        <f>T122*G127/100</f>
        <v>0</v>
      </c>
      <c r="W122" s="143">
        <f>V122+U122</f>
        <v>0</v>
      </c>
    </row>
    <row r="123" spans="1:23" x14ac:dyDescent="0.3">
      <c r="A123" s="279" t="s">
        <v>172</v>
      </c>
      <c r="B123" s="280"/>
      <c r="C123" s="280"/>
      <c r="D123" s="280"/>
      <c r="E123" s="284"/>
    </row>
    <row r="124" spans="1:23" x14ac:dyDescent="0.3">
      <c r="A124" s="172">
        <v>611656</v>
      </c>
      <c r="B124" s="137" t="s">
        <v>249</v>
      </c>
      <c r="C124" s="138">
        <v>1</v>
      </c>
      <c r="D124" s="137">
        <v>378.58</v>
      </c>
      <c r="E124" s="143">
        <f>D124*C124</f>
        <v>378.58</v>
      </c>
      <c r="F124" s="139" t="s">
        <v>173</v>
      </c>
      <c r="G124" s="137">
        <f>$M$2</f>
        <v>1.4</v>
      </c>
    </row>
    <row r="125" spans="1:23" x14ac:dyDescent="0.3">
      <c r="A125" s="172">
        <v>610457</v>
      </c>
      <c r="B125" s="137" t="s">
        <v>250</v>
      </c>
      <c r="C125" s="138">
        <v>1</v>
      </c>
      <c r="D125" s="137">
        <v>11.03</v>
      </c>
      <c r="E125" s="143">
        <f t="shared" ref="E125:E127" si="12">D125*C125</f>
        <v>11.03</v>
      </c>
      <c r="F125" s="139" t="s">
        <v>166</v>
      </c>
      <c r="G125" s="143">
        <f>SUM(E124:E131)*G124</f>
        <v>575.07799999999986</v>
      </c>
    </row>
    <row r="126" spans="1:23" x14ac:dyDescent="0.3">
      <c r="A126" s="172">
        <v>609709</v>
      </c>
      <c r="B126" s="137" t="s">
        <v>251</v>
      </c>
      <c r="C126" s="138">
        <v>1</v>
      </c>
      <c r="D126" s="137">
        <v>5.01</v>
      </c>
      <c r="E126" s="143">
        <f t="shared" si="12"/>
        <v>5.01</v>
      </c>
      <c r="F126" s="139" t="s">
        <v>170</v>
      </c>
      <c r="G126" s="143">
        <f>G122*Stundensatz</f>
        <v>225</v>
      </c>
    </row>
    <row r="127" spans="1:23" x14ac:dyDescent="0.3">
      <c r="A127" s="172">
        <v>611657</v>
      </c>
      <c r="B127" s="137" t="s">
        <v>252</v>
      </c>
      <c r="C127" s="138">
        <v>1</v>
      </c>
      <c r="D127" s="137">
        <v>16.149999999999999</v>
      </c>
      <c r="E127" s="143">
        <f t="shared" si="12"/>
        <v>16.149999999999999</v>
      </c>
      <c r="F127" s="139" t="s">
        <v>182</v>
      </c>
      <c r="G127" s="143">
        <f>SUM(G125:G126)</f>
        <v>800.07799999999986</v>
      </c>
    </row>
    <row r="128" spans="1:23" x14ac:dyDescent="0.3">
      <c r="A128" s="172"/>
      <c r="E128" s="143"/>
    </row>
    <row r="129" spans="1:23" x14ac:dyDescent="0.3">
      <c r="A129" s="172"/>
      <c r="E129" s="143"/>
    </row>
    <row r="130" spans="1:23" x14ac:dyDescent="0.3">
      <c r="A130" s="172"/>
      <c r="E130" s="143"/>
    </row>
    <row r="131" spans="1:23" x14ac:dyDescent="0.3">
      <c r="A131" s="173"/>
      <c r="B131" s="146"/>
      <c r="C131" s="147"/>
      <c r="D131" s="146"/>
      <c r="E131" s="148"/>
    </row>
    <row r="133" spans="1:23" x14ac:dyDescent="0.3">
      <c r="A133" s="142" t="s">
        <v>44</v>
      </c>
      <c r="F133" s="139" t="s">
        <v>170</v>
      </c>
      <c r="G133" s="137">
        <v>1</v>
      </c>
      <c r="H133" s="167">
        <v>635</v>
      </c>
      <c r="I133" s="143">
        <f>H133-G137</f>
        <v>71.13091200000008</v>
      </c>
      <c r="O133" s="265" t="str">
        <f>A133</f>
        <v>lower arm lid</v>
      </c>
      <c r="P133" s="266">
        <f>100/G137*G135</f>
        <v>84.038848393122052</v>
      </c>
      <c r="Q133" s="180">
        <f>100/G137*G136</f>
        <v>15.961151606877944</v>
      </c>
      <c r="R133" s="137">
        <f>Q133+P133</f>
        <v>100</v>
      </c>
      <c r="S133" s="195">
        <f>IF('TW - ASML Scara XT'!E40&lt;&gt;0,'Calc.'!P133,0)</f>
        <v>0</v>
      </c>
      <c r="T133" s="195">
        <f>IF('TW - ASML Scara XT'!E40&lt;&gt;0,'Calc.'!Q133,0)</f>
        <v>0</v>
      </c>
      <c r="U133" s="212">
        <f>S133*G137/100</f>
        <v>0</v>
      </c>
      <c r="V133" s="212">
        <f>T133*G137/100</f>
        <v>0</v>
      </c>
      <c r="W133" s="143">
        <f>V133+U133</f>
        <v>0</v>
      </c>
    </row>
    <row r="134" spans="1:23" outlineLevel="1" x14ac:dyDescent="0.3">
      <c r="A134" s="279" t="s">
        <v>172</v>
      </c>
      <c r="B134" s="280"/>
      <c r="C134" s="280"/>
      <c r="D134" s="280"/>
      <c r="E134" s="284"/>
      <c r="F134" s="139" t="s">
        <v>173</v>
      </c>
      <c r="G134" s="137">
        <f>$M$2</f>
        <v>1.4</v>
      </c>
    </row>
    <row r="135" spans="1:23" outlineLevel="1" x14ac:dyDescent="0.3">
      <c r="A135" s="156">
        <v>609634</v>
      </c>
      <c r="B135" s="137" t="s">
        <v>259</v>
      </c>
      <c r="C135" s="138">
        <v>1</v>
      </c>
      <c r="D135" s="137">
        <v>328.59</v>
      </c>
      <c r="E135" s="143">
        <f t="shared" ref="E135:E139" si="13">D135*C135</f>
        <v>328.59</v>
      </c>
      <c r="F135" s="139" t="s">
        <v>166</v>
      </c>
      <c r="G135" s="143">
        <f>SUM(E135:E139)*G134</f>
        <v>473.86908799999992</v>
      </c>
    </row>
    <row r="136" spans="1:23" outlineLevel="1" x14ac:dyDescent="0.3">
      <c r="A136" s="156">
        <v>609651</v>
      </c>
      <c r="B136" s="137" t="s">
        <v>260</v>
      </c>
      <c r="C136" s="138">
        <v>1</v>
      </c>
      <c r="D136" s="137">
        <v>5.77</v>
      </c>
      <c r="E136" s="143">
        <f t="shared" si="13"/>
        <v>5.77</v>
      </c>
      <c r="F136" s="139" t="s">
        <v>170</v>
      </c>
      <c r="G136" s="143">
        <f>G133*Stundensatz</f>
        <v>90</v>
      </c>
    </row>
    <row r="137" spans="1:23" outlineLevel="1" x14ac:dyDescent="0.3">
      <c r="A137" s="156">
        <v>606872</v>
      </c>
      <c r="B137" s="137" t="s">
        <v>243</v>
      </c>
      <c r="C137" s="138">
        <v>1</v>
      </c>
      <c r="D137" s="137">
        <v>2.2999999999999998</v>
      </c>
      <c r="E137" s="143">
        <f t="shared" si="13"/>
        <v>2.2999999999999998</v>
      </c>
      <c r="F137" s="139" t="s">
        <v>182</v>
      </c>
      <c r="G137" s="143">
        <f>SUM(G135:G136)</f>
        <v>563.86908799999992</v>
      </c>
    </row>
    <row r="138" spans="1:23" outlineLevel="1" x14ac:dyDescent="0.3">
      <c r="A138" s="156" t="s">
        <v>261</v>
      </c>
      <c r="B138" s="137" t="s">
        <v>262</v>
      </c>
      <c r="C138" s="138">
        <v>9</v>
      </c>
      <c r="D138" s="137">
        <v>0.18</v>
      </c>
      <c r="E138" s="143">
        <f t="shared" si="13"/>
        <v>1.6199999999999999</v>
      </c>
    </row>
    <row r="139" spans="1:23" outlineLevel="1" x14ac:dyDescent="0.3">
      <c r="A139" s="145" t="s">
        <v>263</v>
      </c>
      <c r="B139" s="146" t="s">
        <v>264</v>
      </c>
      <c r="C139" s="147">
        <v>8</v>
      </c>
      <c r="D139" s="146">
        <f>24.74/1000</f>
        <v>2.4739999999999998E-2</v>
      </c>
      <c r="E139" s="148">
        <f t="shared" si="13"/>
        <v>0.19791999999999998</v>
      </c>
    </row>
    <row r="141" spans="1:23" x14ac:dyDescent="0.3">
      <c r="A141" s="142" t="s">
        <v>45</v>
      </c>
      <c r="F141" s="139" t="s">
        <v>170</v>
      </c>
      <c r="G141" s="137">
        <v>2.5</v>
      </c>
      <c r="H141" s="150">
        <v>565</v>
      </c>
      <c r="I141" s="143">
        <f>H141-G145</f>
        <v>-341.82799999999997</v>
      </c>
      <c r="O141" s="265" t="str">
        <f>A141</f>
        <v>Arm- drive interface (BR-Shoulder)</v>
      </c>
      <c r="P141" s="266">
        <f>100/G145*G143</f>
        <v>75.188238563432094</v>
      </c>
      <c r="Q141" s="180">
        <f>100/G145*G144</f>
        <v>24.811761436567906</v>
      </c>
      <c r="R141" s="137">
        <f>Q141+P141</f>
        <v>100</v>
      </c>
      <c r="S141" s="195">
        <f>IF('TW - ASML Scara XT'!E41&lt;&gt;0,'Calc.'!P141,0)</f>
        <v>0</v>
      </c>
      <c r="T141" s="195">
        <f>IF('TW - ASML Scara XT'!E41&lt;&gt;0,'Calc.'!Q141,0)</f>
        <v>0</v>
      </c>
      <c r="U141" s="212">
        <f>S141*G145/100</f>
        <v>0</v>
      </c>
      <c r="V141" s="212">
        <f>T141*G145/100</f>
        <v>0</v>
      </c>
      <c r="W141" s="143">
        <f>V141+U141</f>
        <v>0</v>
      </c>
    </row>
    <row r="142" spans="1:23" outlineLevel="1" x14ac:dyDescent="0.3">
      <c r="A142" s="285" t="s">
        <v>172</v>
      </c>
      <c r="B142" s="286"/>
      <c r="C142" s="286"/>
      <c r="D142" s="286"/>
      <c r="E142" s="286"/>
      <c r="F142" s="139" t="s">
        <v>173</v>
      </c>
      <c r="G142" s="137">
        <f>$M$2</f>
        <v>1.4</v>
      </c>
      <c r="H142" s="143"/>
    </row>
    <row r="143" spans="1:23" outlineLevel="1" x14ac:dyDescent="0.3">
      <c r="A143" s="151" t="s">
        <v>265</v>
      </c>
      <c r="B143" s="152" t="s">
        <v>266</v>
      </c>
      <c r="C143" s="153">
        <v>1</v>
      </c>
      <c r="D143" s="152">
        <v>487.02</v>
      </c>
      <c r="E143" s="174">
        <f t="shared" ref="E143" si="14">D143*C143</f>
        <v>487.02</v>
      </c>
      <c r="F143" s="139" t="s">
        <v>166</v>
      </c>
      <c r="G143" s="143">
        <f>SUM(E143)*G142</f>
        <v>681.82799999999997</v>
      </c>
      <c r="H143" s="143"/>
    </row>
    <row r="144" spans="1:23" outlineLevel="1" x14ac:dyDescent="0.3">
      <c r="A144" s="162"/>
      <c r="B144" s="146"/>
      <c r="C144" s="147"/>
      <c r="D144" s="146"/>
      <c r="E144" s="146"/>
      <c r="F144" s="175" t="s">
        <v>170</v>
      </c>
      <c r="G144" s="176">
        <f>G141*Stundensatz</f>
        <v>225</v>
      </c>
      <c r="H144" s="143"/>
    </row>
    <row r="145" spans="1:23" x14ac:dyDescent="0.3">
      <c r="F145" s="175" t="s">
        <v>182</v>
      </c>
      <c r="G145" s="176">
        <f>SUM(G143:G144)</f>
        <v>906.82799999999997</v>
      </c>
      <c r="H145" s="143"/>
    </row>
    <row r="146" spans="1:23" x14ac:dyDescent="0.3">
      <c r="F146" s="175"/>
      <c r="G146" s="176"/>
      <c r="H146" s="143"/>
    </row>
    <row r="147" spans="1:23" x14ac:dyDescent="0.3">
      <c r="A147" s="142" t="s">
        <v>46</v>
      </c>
      <c r="F147" s="139" t="s">
        <v>170</v>
      </c>
      <c r="G147" s="137">
        <v>1</v>
      </c>
      <c r="H147" s="143">
        <v>355.1</v>
      </c>
      <c r="I147" s="143">
        <f>H147-G151</f>
        <v>33.554000000000087</v>
      </c>
      <c r="O147" s="265" t="str">
        <f>A147</f>
        <v>Arm - gripper interface assy. Scara</v>
      </c>
      <c r="P147" s="266">
        <f>100/G151*G149</f>
        <v>72.010225597581695</v>
      </c>
      <c r="Q147" s="180">
        <f>100/G151*G150</f>
        <v>27.989774402418323</v>
      </c>
      <c r="R147" s="137">
        <f>Q147+P147</f>
        <v>100.00000000000001</v>
      </c>
      <c r="S147" s="195">
        <f>IF('TW - ASML Scara XT'!E42&lt;&gt;0,'Calc.'!P147,0)</f>
        <v>0</v>
      </c>
      <c r="T147" s="195">
        <f>IF('TW - ASML Scara XT'!E42&lt;&gt;0,'Calc.'!Q147,0)</f>
        <v>0</v>
      </c>
      <c r="U147" s="212">
        <f>S147*G151/100</f>
        <v>0</v>
      </c>
      <c r="V147" s="212">
        <f>T147*G151/100</f>
        <v>0</v>
      </c>
      <c r="W147" s="143">
        <f>V147+U147</f>
        <v>0</v>
      </c>
    </row>
    <row r="148" spans="1:23" outlineLevel="1" x14ac:dyDescent="0.3">
      <c r="A148" s="279" t="s">
        <v>172</v>
      </c>
      <c r="B148" s="280"/>
      <c r="C148" s="280"/>
      <c r="D148" s="280"/>
      <c r="E148" s="280"/>
      <c r="F148" s="139" t="s">
        <v>173</v>
      </c>
      <c r="G148" s="137">
        <f>$M$2</f>
        <v>1.4</v>
      </c>
      <c r="H148" s="143"/>
    </row>
    <row r="149" spans="1:23" outlineLevel="1" x14ac:dyDescent="0.3">
      <c r="A149" s="156">
        <v>606168</v>
      </c>
      <c r="B149" s="137" t="s">
        <v>267</v>
      </c>
      <c r="C149" s="138">
        <v>1</v>
      </c>
      <c r="D149" s="137">
        <v>165.39</v>
      </c>
      <c r="E149" s="157">
        <f t="shared" ref="E149" si="15">D149*C149</f>
        <v>165.39</v>
      </c>
      <c r="F149" s="139" t="s">
        <v>166</v>
      </c>
      <c r="G149" s="143">
        <f>SUM(E149)*G148</f>
        <v>231.54599999999996</v>
      </c>
      <c r="H149" s="143"/>
    </row>
    <row r="150" spans="1:23" outlineLevel="1" x14ac:dyDescent="0.3">
      <c r="A150" s="162"/>
      <c r="B150" s="146"/>
      <c r="C150" s="147"/>
      <c r="D150" s="146"/>
      <c r="E150" s="146"/>
      <c r="F150" s="139" t="s">
        <v>170</v>
      </c>
      <c r="G150" s="143">
        <f>G147*Stundensatz</f>
        <v>90</v>
      </c>
      <c r="H150" s="143"/>
    </row>
    <row r="151" spans="1:23" outlineLevel="1" x14ac:dyDescent="0.3">
      <c r="F151" s="139" t="s">
        <v>182</v>
      </c>
      <c r="G151" s="143">
        <f>SUM(G149:G150)</f>
        <v>321.54599999999994</v>
      </c>
      <c r="H151" s="143"/>
    </row>
    <row r="152" spans="1:23" x14ac:dyDescent="0.3">
      <c r="H152" s="143"/>
    </row>
    <row r="153" spans="1:23" x14ac:dyDescent="0.3">
      <c r="A153" s="142" t="s">
        <v>47</v>
      </c>
      <c r="F153" s="139" t="s">
        <v>170</v>
      </c>
      <c r="G153" s="137">
        <v>1</v>
      </c>
      <c r="H153" s="143">
        <v>295.89999999999998</v>
      </c>
      <c r="I153" s="143">
        <f>H153-G157</f>
        <v>16.899999999999977</v>
      </c>
      <c r="O153" s="265" t="str">
        <f>A153</f>
        <v>Arm - gripper interface assy. NT</v>
      </c>
      <c r="P153" s="266">
        <f>100/G157*G155</f>
        <v>67.741935483870961</v>
      </c>
      <c r="Q153" s="180">
        <f>100/G157*G156</f>
        <v>32.258064516129032</v>
      </c>
      <c r="R153" s="137">
        <f>Q153+P153</f>
        <v>100</v>
      </c>
      <c r="S153" s="195">
        <f>IF('TW - ASML Scara XT'!E43&lt;&gt;0,'Calc.'!P153,0)</f>
        <v>0</v>
      </c>
      <c r="T153" s="195">
        <f>IF('TW - ASML Scara XT'!E43&lt;&gt;0,'Calc.'!Q153,0)</f>
        <v>0</v>
      </c>
      <c r="U153" s="212">
        <f>S153*G157/100</f>
        <v>0</v>
      </c>
      <c r="V153" s="212">
        <f>T153*G157/100</f>
        <v>0</v>
      </c>
      <c r="W153" s="143">
        <f>V153+U153</f>
        <v>0</v>
      </c>
    </row>
    <row r="154" spans="1:23" outlineLevel="1" x14ac:dyDescent="0.3">
      <c r="A154" s="279" t="s">
        <v>172</v>
      </c>
      <c r="B154" s="280"/>
      <c r="C154" s="280"/>
      <c r="D154" s="280"/>
      <c r="E154" s="280"/>
      <c r="F154" s="139" t="s">
        <v>173</v>
      </c>
      <c r="G154" s="137">
        <f>$M$2</f>
        <v>1.4</v>
      </c>
      <c r="H154" s="143"/>
    </row>
    <row r="155" spans="1:23" outlineLevel="1" x14ac:dyDescent="0.3">
      <c r="A155" s="156">
        <v>607169</v>
      </c>
      <c r="B155" s="137" t="s">
        <v>267</v>
      </c>
      <c r="C155" s="138">
        <v>1</v>
      </c>
      <c r="D155" s="143">
        <v>135</v>
      </c>
      <c r="E155" s="143">
        <f>D155*C155</f>
        <v>135</v>
      </c>
      <c r="F155" s="139" t="s">
        <v>166</v>
      </c>
      <c r="G155" s="143">
        <f>SUM(E155)*G154</f>
        <v>189</v>
      </c>
      <c r="H155" s="143"/>
    </row>
    <row r="156" spans="1:23" outlineLevel="1" x14ac:dyDescent="0.3">
      <c r="A156" s="162"/>
      <c r="B156" s="146"/>
      <c r="C156" s="147"/>
      <c r="D156" s="146"/>
      <c r="E156" s="146"/>
      <c r="F156" s="139" t="s">
        <v>170</v>
      </c>
      <c r="G156" s="143">
        <f>G153*Stundensatz</f>
        <v>90</v>
      </c>
      <c r="H156" s="143"/>
    </row>
    <row r="157" spans="1:23" outlineLevel="1" x14ac:dyDescent="0.3">
      <c r="F157" s="139" t="s">
        <v>182</v>
      </c>
      <c r="G157" s="143">
        <f>SUM(G155:G156)</f>
        <v>279</v>
      </c>
      <c r="H157" s="143"/>
    </row>
    <row r="158" spans="1:23" x14ac:dyDescent="0.3">
      <c r="H158" s="143"/>
    </row>
    <row r="159" spans="1:23" x14ac:dyDescent="0.3">
      <c r="A159" s="142" t="s">
        <v>48</v>
      </c>
      <c r="F159" s="139" t="s">
        <v>170</v>
      </c>
      <c r="G159" s="137">
        <v>1.75</v>
      </c>
      <c r="H159" s="143">
        <v>1086</v>
      </c>
      <c r="I159" s="143">
        <f>H159-G163</f>
        <v>-181.88199999999983</v>
      </c>
      <c r="O159" s="265" t="str">
        <f>A159</f>
        <v>belt-reel upgrade</v>
      </c>
      <c r="P159" s="266">
        <f>100/G163*G161</f>
        <v>87.577708335633758</v>
      </c>
      <c r="Q159" s="180">
        <f>100/G163*G162</f>
        <v>12.422291664366243</v>
      </c>
      <c r="R159" s="137">
        <f>Q159+P159</f>
        <v>100</v>
      </c>
      <c r="S159" s="195">
        <f>IF('TW - ASML Scara XT'!E44&lt;&gt;0,'Calc.'!P159,0)</f>
        <v>0</v>
      </c>
      <c r="T159" s="195">
        <f>IF('TW - ASML Scara XT'!E44&lt;&gt;0,'Calc.'!Q159,0)</f>
        <v>0</v>
      </c>
      <c r="U159" s="212">
        <f>S159*G163/100</f>
        <v>0</v>
      </c>
      <c r="V159" s="212">
        <f>T159*G163/100</f>
        <v>0</v>
      </c>
      <c r="W159" s="143">
        <f>V159+U159</f>
        <v>0</v>
      </c>
    </row>
    <row r="160" spans="1:23" outlineLevel="1" x14ac:dyDescent="0.3">
      <c r="A160" s="279" t="s">
        <v>172</v>
      </c>
      <c r="B160" s="280"/>
      <c r="C160" s="280"/>
      <c r="D160" s="280"/>
      <c r="E160" s="280"/>
      <c r="F160" s="139" t="s">
        <v>173</v>
      </c>
      <c r="G160" s="137">
        <f>$M$2</f>
        <v>1.4</v>
      </c>
      <c r="H160" s="143"/>
    </row>
    <row r="161" spans="1:23" outlineLevel="1" x14ac:dyDescent="0.3">
      <c r="A161" s="156" t="s">
        <v>268</v>
      </c>
      <c r="B161" s="137" t="s">
        <v>269</v>
      </c>
      <c r="C161" s="138">
        <v>1</v>
      </c>
      <c r="D161" s="137">
        <v>306.11</v>
      </c>
      <c r="E161" s="143">
        <f t="shared" ref="E161:E162" si="16">D161*C161</f>
        <v>306.11</v>
      </c>
      <c r="F161" s="139" t="s">
        <v>166</v>
      </c>
      <c r="G161" s="143">
        <f>SUM(E161:E162)*G160</f>
        <v>1110.3819999999998</v>
      </c>
      <c r="H161" s="143"/>
    </row>
    <row r="162" spans="1:23" outlineLevel="1" x14ac:dyDescent="0.3">
      <c r="A162" s="156" t="s">
        <v>265</v>
      </c>
      <c r="B162" s="137" t="s">
        <v>266</v>
      </c>
      <c r="C162" s="138">
        <v>1</v>
      </c>
      <c r="D162" s="137">
        <v>487.02</v>
      </c>
      <c r="E162" s="143">
        <f t="shared" si="16"/>
        <v>487.02</v>
      </c>
      <c r="F162" s="175" t="s">
        <v>170</v>
      </c>
      <c r="G162" s="176">
        <f>G159*Stundensatz</f>
        <v>157.5</v>
      </c>
      <c r="H162" s="143"/>
    </row>
    <row r="163" spans="1:23" outlineLevel="1" x14ac:dyDescent="0.3">
      <c r="A163" s="162"/>
      <c r="B163" s="146"/>
      <c r="C163" s="147"/>
      <c r="D163" s="146"/>
      <c r="E163" s="146"/>
      <c r="F163" s="175" t="s">
        <v>182</v>
      </c>
      <c r="G163" s="176">
        <f>SUM(G161:G162)</f>
        <v>1267.8819999999998</v>
      </c>
      <c r="H163" s="143"/>
    </row>
    <row r="164" spans="1:23" outlineLevel="1" x14ac:dyDescent="0.3">
      <c r="H164" s="143"/>
    </row>
    <row r="165" spans="1:23" x14ac:dyDescent="0.3">
      <c r="A165" s="142" t="s">
        <v>49</v>
      </c>
      <c r="F165" s="139" t="s">
        <v>170</v>
      </c>
      <c r="G165" s="137">
        <v>0.25</v>
      </c>
      <c r="H165" s="143">
        <v>50.35</v>
      </c>
      <c r="I165" s="143">
        <f>H165-G169</f>
        <v>9.5660000000000025</v>
      </c>
      <c r="O165" s="265" t="str">
        <f>A165</f>
        <v>Torx-screw upgrade</v>
      </c>
      <c r="P165" s="266">
        <f>100/G169*G167</f>
        <v>44.831306394664573</v>
      </c>
      <c r="Q165" s="180">
        <f>100/G169*G168</f>
        <v>55.16869360533542</v>
      </c>
      <c r="R165" s="137">
        <f>Q165+P165</f>
        <v>100</v>
      </c>
      <c r="S165" s="195">
        <f>IF('TW - ASML Scara XT'!E45&lt;&gt;0,'Calc.'!P165,0)</f>
        <v>0</v>
      </c>
      <c r="T165" s="195">
        <f>IF('TW - ASML Scara XT'!E45&lt;&gt;0,'Calc.'!Q165,0)</f>
        <v>0</v>
      </c>
      <c r="U165" s="212">
        <f>S165*G169/100</f>
        <v>0</v>
      </c>
      <c r="V165" s="212">
        <f>T165*G169/100</f>
        <v>0</v>
      </c>
      <c r="W165" s="143">
        <f>V165+U165</f>
        <v>0</v>
      </c>
    </row>
    <row r="166" spans="1:23" outlineLevel="1" x14ac:dyDescent="0.3">
      <c r="A166" s="279" t="s">
        <v>172</v>
      </c>
      <c r="B166" s="280"/>
      <c r="C166" s="280"/>
      <c r="D166" s="280"/>
      <c r="E166" s="280"/>
      <c r="F166" s="139" t="s">
        <v>173</v>
      </c>
      <c r="G166" s="137">
        <f>$M$2</f>
        <v>1.4</v>
      </c>
    </row>
    <row r="167" spans="1:23" outlineLevel="1" x14ac:dyDescent="0.3">
      <c r="A167" s="156">
        <v>612038</v>
      </c>
      <c r="B167" s="137" t="s">
        <v>245</v>
      </c>
      <c r="C167" s="138">
        <v>1</v>
      </c>
      <c r="D167" s="137">
        <v>13.06</v>
      </c>
      <c r="E167" s="143">
        <f t="shared" ref="E167" si="17">D167*C167</f>
        <v>13.06</v>
      </c>
      <c r="F167" s="139" t="s">
        <v>166</v>
      </c>
      <c r="G167" s="143">
        <f>SUM(E167:E168)*G166</f>
        <v>18.283999999999999</v>
      </c>
    </row>
    <row r="168" spans="1:23" outlineLevel="1" x14ac:dyDescent="0.3">
      <c r="A168" s="162"/>
      <c r="B168" s="146"/>
      <c r="C168" s="147"/>
      <c r="D168" s="146"/>
      <c r="E168" s="146"/>
      <c r="F168" s="175" t="s">
        <v>170</v>
      </c>
      <c r="G168" s="176">
        <f>G165*Stundensatz</f>
        <v>22.5</v>
      </c>
    </row>
    <row r="169" spans="1:23" outlineLevel="1" x14ac:dyDescent="0.3">
      <c r="F169" s="175" t="s">
        <v>182</v>
      </c>
      <c r="G169" s="176">
        <f>SUM(G167:G168)</f>
        <v>40.783999999999999</v>
      </c>
    </row>
    <row r="170" spans="1:23" x14ac:dyDescent="0.3">
      <c r="F170" s="175"/>
      <c r="G170" s="176"/>
    </row>
    <row r="171" spans="1:23" x14ac:dyDescent="0.3">
      <c r="A171" s="142" t="s">
        <v>53</v>
      </c>
      <c r="F171" s="139" t="s">
        <v>170</v>
      </c>
      <c r="G171" s="137">
        <v>1</v>
      </c>
      <c r="H171" s="143">
        <v>545</v>
      </c>
      <c r="I171" s="143">
        <f>H171-G175</f>
        <v>79.100000000000023</v>
      </c>
      <c r="O171" s="265" t="str">
        <f>A171</f>
        <v>cable hood</v>
      </c>
      <c r="P171" s="266">
        <f>100/G175*G173</f>
        <v>80.682549903412749</v>
      </c>
      <c r="Q171" s="180">
        <f>100/G175*G174</f>
        <v>19.317450096587251</v>
      </c>
      <c r="R171" s="137">
        <f>Q171+P171</f>
        <v>100</v>
      </c>
      <c r="S171" s="195">
        <f>IF('TW - ASML Scara XT'!E49&lt;&gt;0,'Calc.'!P171,0)</f>
        <v>0</v>
      </c>
      <c r="T171" s="195">
        <f>IF('TW - ASML Scara XT'!E49&lt;&gt;0,'Calc.'!Q171,0)</f>
        <v>0</v>
      </c>
      <c r="U171" s="212">
        <f>S171*G175/100</f>
        <v>0</v>
      </c>
      <c r="V171" s="212">
        <f>T171*G175/100</f>
        <v>0</v>
      </c>
      <c r="W171" s="143">
        <f>V171+U171</f>
        <v>0</v>
      </c>
    </row>
    <row r="172" spans="1:23" x14ac:dyDescent="0.3">
      <c r="A172" s="279" t="s">
        <v>172</v>
      </c>
      <c r="B172" s="280"/>
      <c r="C172" s="280"/>
      <c r="D172" s="280"/>
      <c r="E172" s="284"/>
      <c r="F172" s="139" t="s">
        <v>173</v>
      </c>
      <c r="G172" s="137">
        <f>$M$2</f>
        <v>1.4</v>
      </c>
      <c r="H172" s="143"/>
      <c r="I172" s="143"/>
    </row>
    <row r="173" spans="1:23" x14ac:dyDescent="0.3">
      <c r="A173" s="144" t="s">
        <v>270</v>
      </c>
      <c r="B173" s="137" t="s">
        <v>271</v>
      </c>
      <c r="C173" s="138">
        <v>1</v>
      </c>
      <c r="D173" s="137">
        <v>268.5</v>
      </c>
      <c r="E173" s="155">
        <f t="shared" ref="E173" si="18">D173*C173</f>
        <v>268.5</v>
      </c>
      <c r="F173" s="175" t="s">
        <v>166</v>
      </c>
      <c r="G173" s="176">
        <f>SUM(E173)*G172</f>
        <v>375.9</v>
      </c>
      <c r="H173" s="143"/>
      <c r="I173" s="143"/>
    </row>
    <row r="174" spans="1:23" x14ac:dyDescent="0.3">
      <c r="A174" s="162"/>
      <c r="B174" s="146"/>
      <c r="C174" s="147"/>
      <c r="D174" s="146"/>
      <c r="E174" s="146"/>
      <c r="F174" s="175" t="s">
        <v>170</v>
      </c>
      <c r="G174" s="176">
        <f>G171*Stundensatz</f>
        <v>90</v>
      </c>
      <c r="H174" s="143"/>
      <c r="I174" s="143"/>
    </row>
    <row r="175" spans="1:23" x14ac:dyDescent="0.3">
      <c r="F175" s="175" t="s">
        <v>182</v>
      </c>
      <c r="G175" s="176">
        <f>SUM(G173:G174)</f>
        <v>465.9</v>
      </c>
      <c r="H175" s="143"/>
      <c r="I175" s="143"/>
    </row>
    <row r="177" spans="1:23" x14ac:dyDescent="0.3">
      <c r="A177" s="142" t="s">
        <v>54</v>
      </c>
      <c r="F177" s="139" t="s">
        <v>170</v>
      </c>
      <c r="G177" s="137">
        <v>1</v>
      </c>
      <c r="H177" s="167">
        <v>550</v>
      </c>
      <c r="I177" s="143">
        <f>H177-G181</f>
        <v>79.620000000000061</v>
      </c>
      <c r="O177" s="265" t="str">
        <f>A177</f>
        <v>DM housing</v>
      </c>
      <c r="P177" s="266">
        <f>100/G181*G179</f>
        <v>80.866533441047665</v>
      </c>
      <c r="Q177" s="180">
        <f>100/G181*G180</f>
        <v>19.133466558952339</v>
      </c>
      <c r="R177" s="137">
        <f>Q177+P177</f>
        <v>100</v>
      </c>
      <c r="S177" s="195">
        <f>IF('TW - ASML Scara XT'!E50&lt;&gt;0,'Calc.'!P177,0)</f>
        <v>0</v>
      </c>
      <c r="T177" s="195">
        <f>IF('TW - ASML Scara XT'!E50&lt;&gt;0,'Calc.'!Q177,0)</f>
        <v>0</v>
      </c>
      <c r="U177" s="212">
        <f>S177*G181/100</f>
        <v>0</v>
      </c>
      <c r="V177" s="212">
        <f>T177*G181/100</f>
        <v>0</v>
      </c>
      <c r="W177" s="143">
        <f>V177+U177</f>
        <v>0</v>
      </c>
    </row>
    <row r="178" spans="1:23" outlineLevel="1" x14ac:dyDescent="0.3">
      <c r="A178" s="279" t="s">
        <v>172</v>
      </c>
      <c r="B178" s="280"/>
      <c r="C178" s="280"/>
      <c r="D178" s="280"/>
      <c r="E178" s="280"/>
      <c r="F178" s="139" t="s">
        <v>173</v>
      </c>
      <c r="G178" s="137">
        <f>$M$2</f>
        <v>1.4</v>
      </c>
    </row>
    <row r="179" spans="1:23" outlineLevel="1" x14ac:dyDescent="0.3">
      <c r="A179" s="156">
        <v>604303</v>
      </c>
      <c r="B179" s="137" t="s">
        <v>272</v>
      </c>
      <c r="C179" s="138">
        <v>1</v>
      </c>
      <c r="D179" s="137">
        <v>271.7</v>
      </c>
      <c r="E179" s="143">
        <f t="shared" ref="E179" si="19">D179*C179</f>
        <v>271.7</v>
      </c>
      <c r="F179" s="139" t="s">
        <v>166</v>
      </c>
      <c r="G179" s="143">
        <f>SUM(E179:E180)*G178</f>
        <v>380.37999999999994</v>
      </c>
    </row>
    <row r="180" spans="1:23" outlineLevel="1" x14ac:dyDescent="0.3">
      <c r="A180" s="162"/>
      <c r="B180" s="146"/>
      <c r="C180" s="147"/>
      <c r="D180" s="146"/>
      <c r="E180" s="146"/>
      <c r="F180" s="175" t="s">
        <v>170</v>
      </c>
      <c r="G180" s="176">
        <f>G177*Stundensatz</f>
        <v>90</v>
      </c>
    </row>
    <row r="181" spans="1:23" outlineLevel="1" x14ac:dyDescent="0.3">
      <c r="F181" s="175" t="s">
        <v>182</v>
      </c>
      <c r="G181" s="176">
        <f>SUM(G179:G180)</f>
        <v>470.37999999999994</v>
      </c>
    </row>
    <row r="183" spans="1:23" x14ac:dyDescent="0.3">
      <c r="A183" s="142" t="s">
        <v>273</v>
      </c>
      <c r="F183" s="139" t="s">
        <v>170</v>
      </c>
      <c r="G183" s="137">
        <v>0.5</v>
      </c>
      <c r="H183" s="167">
        <v>95</v>
      </c>
      <c r="I183" s="143">
        <f>H183-G187</f>
        <v>17.590000000000003</v>
      </c>
      <c r="O183" s="265" t="str">
        <f>A183</f>
        <v>DM lid</v>
      </c>
      <c r="P183" s="266">
        <f>100/G187*G185</f>
        <v>41.867975713732072</v>
      </c>
      <c r="Q183" s="180">
        <f>100/G187*G186</f>
        <v>58.132024286267928</v>
      </c>
      <c r="R183" s="137">
        <f>Q183+P183</f>
        <v>100</v>
      </c>
      <c r="S183" s="195">
        <f>IF('TW - ASML Scara XT'!E51&lt;&gt;0,'Calc.'!P183,0)</f>
        <v>0</v>
      </c>
      <c r="T183" s="195">
        <f>IF('TW - ASML Scara XT'!E51&lt;&gt;0,'Calc.'!Q183,0)</f>
        <v>0</v>
      </c>
      <c r="U183" s="212">
        <f>S183*G187/100</f>
        <v>0</v>
      </c>
      <c r="V183" s="212">
        <f>T183*G187/100</f>
        <v>0</v>
      </c>
      <c r="W183" s="143">
        <f>V183+U183</f>
        <v>0</v>
      </c>
    </row>
    <row r="184" spans="1:23" outlineLevel="1" x14ac:dyDescent="0.3">
      <c r="A184" s="279" t="s">
        <v>172</v>
      </c>
      <c r="B184" s="280"/>
      <c r="C184" s="280"/>
      <c r="D184" s="280"/>
      <c r="E184" s="280"/>
      <c r="F184" s="139" t="s">
        <v>173</v>
      </c>
      <c r="G184" s="137">
        <f>$M$2</f>
        <v>1.4</v>
      </c>
    </row>
    <row r="185" spans="1:23" outlineLevel="1" x14ac:dyDescent="0.3">
      <c r="A185" s="156">
        <v>604336</v>
      </c>
      <c r="B185" s="137" t="s">
        <v>221</v>
      </c>
      <c r="C185" s="138">
        <v>1</v>
      </c>
      <c r="D185" s="137">
        <v>23.15</v>
      </c>
      <c r="E185" s="143">
        <f t="shared" ref="E185" si="20">D185*C185</f>
        <v>23.15</v>
      </c>
      <c r="F185" s="139" t="s">
        <v>166</v>
      </c>
      <c r="G185" s="143">
        <f>SUM(E185:E186)*G184</f>
        <v>32.409999999999997</v>
      </c>
      <c r="H185" s="143"/>
      <c r="I185" s="143"/>
    </row>
    <row r="186" spans="1:23" outlineLevel="1" x14ac:dyDescent="0.3">
      <c r="A186" s="162"/>
      <c r="B186" s="146"/>
      <c r="C186" s="147"/>
      <c r="D186" s="146"/>
      <c r="E186" s="146"/>
      <c r="F186" s="175" t="s">
        <v>170</v>
      </c>
      <c r="G186" s="176">
        <f>G183*Stundensatz</f>
        <v>45</v>
      </c>
      <c r="H186" s="143"/>
      <c r="I186" s="143"/>
    </row>
    <row r="187" spans="1:23" outlineLevel="1" x14ac:dyDescent="0.3">
      <c r="F187" s="175" t="s">
        <v>182</v>
      </c>
      <c r="G187" s="176">
        <f>SUM(G185:G186)</f>
        <v>77.41</v>
      </c>
      <c r="H187" s="143"/>
      <c r="I187" s="143"/>
    </row>
    <row r="188" spans="1:23" x14ac:dyDescent="0.3">
      <c r="H188" s="143"/>
      <c r="I188" s="143"/>
    </row>
    <row r="189" spans="1:23" x14ac:dyDescent="0.3">
      <c r="A189" s="142" t="s">
        <v>56</v>
      </c>
      <c r="F189" s="139" t="s">
        <v>170</v>
      </c>
      <c r="G189" s="137">
        <v>2</v>
      </c>
      <c r="H189" s="143"/>
      <c r="I189" s="143"/>
      <c r="O189" s="265" t="str">
        <f>A189</f>
        <v xml:space="preserve">slip-ring </v>
      </c>
      <c r="P189" s="266">
        <f>100/G193*G191</f>
        <v>68.798751950078</v>
      </c>
      <c r="Q189" s="180">
        <f>100/G193*G192</f>
        <v>31.201248049922</v>
      </c>
      <c r="R189" s="137">
        <f>Q189+P189</f>
        <v>100</v>
      </c>
      <c r="S189" s="195">
        <f>IF('TW - ASML Scara XT'!E52&lt;&gt;0,'Calc.'!P189,0)</f>
        <v>0</v>
      </c>
      <c r="T189" s="195">
        <f>IF('TW - ASML Scara XT'!E52&lt;&gt;0,'Calc.'!Q189,0)</f>
        <v>0</v>
      </c>
      <c r="U189" s="212">
        <f>S189*G193/100</f>
        <v>0</v>
      </c>
      <c r="V189" s="212">
        <f>T189*G193/100</f>
        <v>0</v>
      </c>
      <c r="W189" s="143">
        <f>V189+U189</f>
        <v>0</v>
      </c>
    </row>
    <row r="190" spans="1:23" outlineLevel="1" x14ac:dyDescent="0.3">
      <c r="A190" s="279" t="s">
        <v>172</v>
      </c>
      <c r="B190" s="280"/>
      <c r="C190" s="280"/>
      <c r="D190" s="280"/>
      <c r="E190" s="284"/>
      <c r="F190" s="139" t="s">
        <v>173</v>
      </c>
      <c r="G190" s="137">
        <f>$M$2</f>
        <v>1.4</v>
      </c>
      <c r="H190" s="143">
        <v>632</v>
      </c>
      <c r="I190" s="143">
        <f>H190-G193</f>
        <v>55.100000000000023</v>
      </c>
    </row>
    <row r="191" spans="1:23" outlineLevel="1" x14ac:dyDescent="0.3">
      <c r="A191" s="156">
        <v>611169</v>
      </c>
      <c r="B191" s="137" t="s">
        <v>274</v>
      </c>
      <c r="C191" s="138">
        <v>3</v>
      </c>
      <c r="D191" s="137">
        <v>4.9000000000000004</v>
      </c>
      <c r="E191" s="155">
        <f t="shared" ref="E191:E193" si="21">D191*C191</f>
        <v>14.700000000000001</v>
      </c>
      <c r="F191" s="139" t="s">
        <v>166</v>
      </c>
      <c r="G191" s="143">
        <f>SUM(E191:E193)*G190</f>
        <v>396.9</v>
      </c>
      <c r="H191" s="143"/>
      <c r="I191" s="143"/>
    </row>
    <row r="192" spans="1:23" outlineLevel="1" x14ac:dyDescent="0.3">
      <c r="A192" s="156">
        <v>611081</v>
      </c>
      <c r="B192" s="137" t="s">
        <v>275</v>
      </c>
      <c r="C192" s="138">
        <v>1</v>
      </c>
      <c r="D192" s="137">
        <v>143.80000000000001</v>
      </c>
      <c r="E192" s="155">
        <f t="shared" si="21"/>
        <v>143.80000000000001</v>
      </c>
      <c r="F192" s="139" t="s">
        <v>170</v>
      </c>
      <c r="G192" s="143">
        <f>G189*Stundensatz</f>
        <v>180</v>
      </c>
      <c r="H192" s="143"/>
      <c r="I192" s="143"/>
    </row>
    <row r="193" spans="1:23" outlineLevel="1" x14ac:dyDescent="0.3">
      <c r="A193" s="162" t="s">
        <v>276</v>
      </c>
      <c r="B193" s="146" t="s">
        <v>277</v>
      </c>
      <c r="C193" s="147">
        <v>1</v>
      </c>
      <c r="D193" s="146">
        <v>125</v>
      </c>
      <c r="E193" s="164">
        <f t="shared" si="21"/>
        <v>125</v>
      </c>
      <c r="F193" s="139" t="s">
        <v>182</v>
      </c>
      <c r="G193" s="143">
        <f>SUM(G191:G192)</f>
        <v>576.9</v>
      </c>
      <c r="H193" s="143"/>
      <c r="I193" s="143"/>
    </row>
    <row r="194" spans="1:23" outlineLevel="1" x14ac:dyDescent="0.3">
      <c r="E194" s="143"/>
      <c r="F194" s="177"/>
      <c r="G194" s="178"/>
      <c r="H194" s="143"/>
      <c r="I194" s="143"/>
    </row>
    <row r="195" spans="1:23" x14ac:dyDescent="0.3">
      <c r="A195" s="142" t="s">
        <v>60</v>
      </c>
      <c r="F195" s="139" t="s">
        <v>170</v>
      </c>
      <c r="G195" s="137">
        <v>1.25</v>
      </c>
      <c r="H195" s="143">
        <v>322.5</v>
      </c>
      <c r="I195" s="143">
        <f>H195-G199</f>
        <v>52.220000000000027</v>
      </c>
      <c r="O195" s="265" t="str">
        <f>A195</f>
        <v>ZM housing Scara</v>
      </c>
      <c r="P195" s="266">
        <f>100/G199*G197</f>
        <v>58.376498446055948</v>
      </c>
      <c r="Q195" s="180">
        <f>100/G199*G198</f>
        <v>41.62350155394406</v>
      </c>
      <c r="R195" s="137">
        <f>Q195+P195</f>
        <v>100</v>
      </c>
      <c r="S195" s="195">
        <f>IF('TW - ASML Scara XT'!E58&lt;&gt;0,'Calc.'!P195,0)</f>
        <v>0</v>
      </c>
      <c r="T195" s="195">
        <f>IF('TW - ASML Scara XT'!E58&lt;&gt;0,'Calc.'!Q195,0)</f>
        <v>0</v>
      </c>
      <c r="U195" s="212">
        <f>S195*G199/100</f>
        <v>0</v>
      </c>
      <c r="V195" s="212">
        <f>T195*G199/100</f>
        <v>0</v>
      </c>
      <c r="W195" s="143">
        <f>V195+U195</f>
        <v>0</v>
      </c>
    </row>
    <row r="196" spans="1:23" outlineLevel="1" x14ac:dyDescent="0.3">
      <c r="A196" s="279" t="s">
        <v>172</v>
      </c>
      <c r="B196" s="280"/>
      <c r="C196" s="280"/>
      <c r="D196" s="280"/>
      <c r="E196" s="284"/>
      <c r="F196" s="139" t="s">
        <v>173</v>
      </c>
      <c r="G196" s="137">
        <f>$M$2</f>
        <v>1.4</v>
      </c>
      <c r="H196" s="143"/>
      <c r="I196" s="143"/>
    </row>
    <row r="197" spans="1:23" outlineLevel="1" x14ac:dyDescent="0.3">
      <c r="A197" s="144">
        <v>605706</v>
      </c>
      <c r="B197" s="137" t="s">
        <v>278</v>
      </c>
      <c r="C197" s="138">
        <v>1</v>
      </c>
      <c r="D197" s="137">
        <v>112.7</v>
      </c>
      <c r="E197" s="155">
        <f t="shared" ref="E197" si="22">D197*C197</f>
        <v>112.7</v>
      </c>
      <c r="F197" s="139" t="s">
        <v>166</v>
      </c>
      <c r="G197" s="143">
        <f>SUM(E197)*G196</f>
        <v>157.78</v>
      </c>
      <c r="H197" s="143"/>
      <c r="I197" s="143"/>
    </row>
    <row r="198" spans="1:23" outlineLevel="1" x14ac:dyDescent="0.3">
      <c r="A198" s="162"/>
      <c r="B198" s="146"/>
      <c r="C198" s="147"/>
      <c r="D198" s="146"/>
      <c r="E198" s="146"/>
      <c r="F198" s="139" t="s">
        <v>170</v>
      </c>
      <c r="G198" s="137">
        <f>G195*Stundensatz</f>
        <v>112.5</v>
      </c>
      <c r="H198" s="143"/>
      <c r="I198" s="143"/>
    </row>
    <row r="199" spans="1:23" outlineLevel="1" x14ac:dyDescent="0.3">
      <c r="F199" s="139" t="s">
        <v>182</v>
      </c>
      <c r="G199" s="143">
        <f>SUM(G197:G198)</f>
        <v>270.27999999999997</v>
      </c>
      <c r="H199" s="143"/>
      <c r="I199" s="143"/>
    </row>
    <row r="200" spans="1:23" x14ac:dyDescent="0.3">
      <c r="H200" s="143"/>
      <c r="I200" s="143"/>
    </row>
    <row r="201" spans="1:23" x14ac:dyDescent="0.3">
      <c r="A201" s="142" t="s">
        <v>61</v>
      </c>
      <c r="F201" s="139" t="s">
        <v>170</v>
      </c>
      <c r="G201" s="137">
        <v>1.25</v>
      </c>
      <c r="H201" s="143">
        <v>336.5</v>
      </c>
      <c r="I201" s="143">
        <f>H201-G205</f>
        <v>49.980000000000018</v>
      </c>
      <c r="O201" s="265" t="str">
        <f>A201</f>
        <v>ZM housing NT</v>
      </c>
      <c r="P201" s="266">
        <f>100/G205*G203</f>
        <v>60.735725254781521</v>
      </c>
      <c r="Q201" s="180">
        <f>100/G205*G204</f>
        <v>39.264274745218486</v>
      </c>
      <c r="R201" s="137">
        <f>Q201+P201</f>
        <v>100</v>
      </c>
      <c r="S201" s="195">
        <f>IF('TW - ASML Scara XT'!E57&lt;&gt;0,'Calc.'!P201,0)</f>
        <v>0</v>
      </c>
      <c r="T201" s="195">
        <f>IF('TW - ASML Scara XT'!E57&lt;&gt;0,'Calc.'!Q201,0)</f>
        <v>0</v>
      </c>
      <c r="U201" s="212">
        <f>S201*G205/100</f>
        <v>0</v>
      </c>
      <c r="V201" s="212">
        <f>T201*G205/100</f>
        <v>0</v>
      </c>
      <c r="W201" s="143">
        <f>V201+U201</f>
        <v>0</v>
      </c>
    </row>
    <row r="202" spans="1:23" outlineLevel="1" x14ac:dyDescent="0.3">
      <c r="A202" s="279" t="s">
        <v>172</v>
      </c>
      <c r="B202" s="280"/>
      <c r="C202" s="280"/>
      <c r="D202" s="280"/>
      <c r="E202" s="284"/>
      <c r="F202" s="139" t="s">
        <v>173</v>
      </c>
      <c r="G202" s="137">
        <f>$M$2</f>
        <v>1.4</v>
      </c>
      <c r="H202" s="143"/>
      <c r="I202" s="143"/>
    </row>
    <row r="203" spans="1:23" outlineLevel="1" x14ac:dyDescent="0.3">
      <c r="A203" s="144">
        <v>607172</v>
      </c>
      <c r="B203" s="137" t="s">
        <v>278</v>
      </c>
      <c r="C203" s="138">
        <v>1</v>
      </c>
      <c r="D203" s="137">
        <v>124.3</v>
      </c>
      <c r="E203" s="155">
        <f t="shared" ref="E203" si="23">D203*C203</f>
        <v>124.3</v>
      </c>
      <c r="F203" s="175" t="s">
        <v>166</v>
      </c>
      <c r="G203" s="176">
        <f>SUM(E203)*G202</f>
        <v>174.01999999999998</v>
      </c>
      <c r="H203" s="143"/>
      <c r="I203" s="143"/>
    </row>
    <row r="204" spans="1:23" outlineLevel="1" x14ac:dyDescent="0.3">
      <c r="A204" s="162"/>
      <c r="B204" s="146"/>
      <c r="C204" s="147"/>
      <c r="D204" s="146"/>
      <c r="E204" s="146"/>
      <c r="F204" s="175" t="s">
        <v>170</v>
      </c>
      <c r="G204" s="176">
        <f>G201*Stundensatz</f>
        <v>112.5</v>
      </c>
      <c r="H204" s="143"/>
      <c r="I204" s="143"/>
    </row>
    <row r="205" spans="1:23" outlineLevel="1" x14ac:dyDescent="0.3">
      <c r="F205" s="175" t="s">
        <v>182</v>
      </c>
      <c r="G205" s="176">
        <f>SUM(G203:G204)</f>
        <v>286.52</v>
      </c>
      <c r="H205" s="143"/>
      <c r="I205" s="143"/>
    </row>
    <row r="206" spans="1:23" x14ac:dyDescent="0.3">
      <c r="H206" s="143"/>
      <c r="I206" s="143"/>
    </row>
    <row r="207" spans="1:23" x14ac:dyDescent="0.3">
      <c r="A207" s="142"/>
      <c r="H207" s="167"/>
      <c r="I207" s="143"/>
      <c r="O207" s="265"/>
      <c r="P207" s="266"/>
      <c r="Q207" s="180"/>
    </row>
    <row r="208" spans="1:23" x14ac:dyDescent="0.3">
      <c r="A208" s="279"/>
      <c r="B208" s="280"/>
      <c r="C208" s="280"/>
      <c r="D208" s="280"/>
      <c r="E208" s="284"/>
    </row>
    <row r="209" spans="1:23" x14ac:dyDescent="0.3">
      <c r="A209" s="156"/>
      <c r="E209" s="155"/>
      <c r="G209" s="143"/>
    </row>
    <row r="210" spans="1:23" x14ac:dyDescent="0.3">
      <c r="A210" s="156"/>
      <c r="E210" s="155"/>
      <c r="F210" s="175"/>
      <c r="G210" s="176"/>
    </row>
    <row r="211" spans="1:23" x14ac:dyDescent="0.3">
      <c r="A211" s="156"/>
      <c r="B211" s="264"/>
      <c r="E211" s="155"/>
      <c r="F211" s="175"/>
      <c r="G211" s="176"/>
    </row>
    <row r="212" spans="1:23" x14ac:dyDescent="0.3">
      <c r="A212" s="145"/>
      <c r="B212" s="146"/>
      <c r="C212" s="147"/>
      <c r="D212" s="146"/>
      <c r="E212" s="164"/>
    </row>
    <row r="213" spans="1:23" x14ac:dyDescent="0.3">
      <c r="H213" s="143"/>
      <c r="I213" s="143"/>
    </row>
    <row r="214" spans="1:23" x14ac:dyDescent="0.3">
      <c r="A214" s="142" t="s">
        <v>279</v>
      </c>
      <c r="F214" s="139" t="s">
        <v>170</v>
      </c>
      <c r="G214" s="137">
        <v>1.25</v>
      </c>
      <c r="H214" s="143">
        <v>495</v>
      </c>
      <c r="I214" s="143">
        <f>H214-G218</f>
        <v>69.728800000000035</v>
      </c>
      <c r="O214" s="265" t="str">
        <f>A214</f>
        <v xml:space="preserve">Clamping flange </v>
      </c>
      <c r="P214" s="266">
        <f>100/G218*G216</f>
        <v>73.546292342392334</v>
      </c>
      <c r="Q214" s="180">
        <f>100/G218*G217</f>
        <v>26.453707657607666</v>
      </c>
      <c r="R214" s="137">
        <f>Q214+P214</f>
        <v>100</v>
      </c>
      <c r="S214" s="195">
        <f>IF('TW - ASML Scara XT'!E61&lt;&gt;0,'Calc.'!P214,0)</f>
        <v>0</v>
      </c>
      <c r="T214" s="195">
        <f>IF('TW - ASML Scara XT'!E61&lt;&gt;0,'Calc.'!Q214,0)</f>
        <v>0</v>
      </c>
      <c r="U214" s="212">
        <f>S214*G218/100</f>
        <v>0</v>
      </c>
      <c r="V214" s="212">
        <f>T214*G218/100</f>
        <v>0</v>
      </c>
      <c r="W214" s="143">
        <f>V214+U214</f>
        <v>0</v>
      </c>
    </row>
    <row r="215" spans="1:23" outlineLevel="1" x14ac:dyDescent="0.3">
      <c r="A215" s="279" t="s">
        <v>172</v>
      </c>
      <c r="B215" s="280"/>
      <c r="C215" s="280"/>
      <c r="D215" s="280"/>
      <c r="E215" s="284"/>
      <c r="F215" s="139" t="s">
        <v>173</v>
      </c>
      <c r="G215" s="137">
        <f>$M$2</f>
        <v>1.4</v>
      </c>
      <c r="H215" s="143"/>
      <c r="I215" s="143"/>
    </row>
    <row r="216" spans="1:23" outlineLevel="1" x14ac:dyDescent="0.3">
      <c r="A216" s="156">
        <v>610906</v>
      </c>
      <c r="B216" s="137" t="s">
        <v>280</v>
      </c>
      <c r="C216" s="138">
        <v>1</v>
      </c>
      <c r="D216" s="137">
        <v>192.7</v>
      </c>
      <c r="E216" s="143">
        <f t="shared" ref="E216:E220" si="24">D216*C216</f>
        <v>192.7</v>
      </c>
      <c r="F216" s="139" t="s">
        <v>166</v>
      </c>
      <c r="G216" s="143">
        <f>SUM(E216:E220)*G215</f>
        <v>312.77119999999996</v>
      </c>
      <c r="H216" s="143"/>
      <c r="I216" s="143"/>
    </row>
    <row r="217" spans="1:23" outlineLevel="1" x14ac:dyDescent="0.3">
      <c r="A217" s="156">
        <v>610904</v>
      </c>
      <c r="B217" s="137" t="s">
        <v>281</v>
      </c>
      <c r="C217" s="138">
        <v>1</v>
      </c>
      <c r="D217" s="137">
        <v>8.1999999999999993</v>
      </c>
      <c r="E217" s="143">
        <f t="shared" si="24"/>
        <v>8.1999999999999993</v>
      </c>
      <c r="F217" s="175" t="s">
        <v>170</v>
      </c>
      <c r="G217" s="176">
        <f>G214*Stundensatz</f>
        <v>112.5</v>
      </c>
      <c r="H217" s="143"/>
      <c r="I217" s="143"/>
    </row>
    <row r="218" spans="1:23" outlineLevel="1" x14ac:dyDescent="0.3">
      <c r="A218" s="156">
        <v>610903</v>
      </c>
      <c r="B218" s="137" t="s">
        <v>282</v>
      </c>
      <c r="C218" s="138">
        <v>1</v>
      </c>
      <c r="D218" s="137">
        <v>19.600000000000001</v>
      </c>
      <c r="E218" s="143">
        <f t="shared" si="24"/>
        <v>19.600000000000001</v>
      </c>
      <c r="F218" s="175" t="s">
        <v>182</v>
      </c>
      <c r="G218" s="176">
        <f>SUM(G216:G217)</f>
        <v>425.27119999999996</v>
      </c>
      <c r="H218" s="143"/>
      <c r="I218" s="143"/>
    </row>
    <row r="219" spans="1:23" outlineLevel="1" x14ac:dyDescent="0.3">
      <c r="A219" s="144" t="s">
        <v>283</v>
      </c>
      <c r="B219" s="137" t="s">
        <v>284</v>
      </c>
      <c r="C219" s="138">
        <v>1</v>
      </c>
      <c r="D219" s="137">
        <f>0.8/100</f>
        <v>8.0000000000000002E-3</v>
      </c>
      <c r="E219" s="143">
        <f t="shared" si="24"/>
        <v>8.0000000000000002E-3</v>
      </c>
      <c r="H219" s="143"/>
      <c r="I219" s="143"/>
    </row>
    <row r="220" spans="1:23" outlineLevel="1" x14ac:dyDescent="0.3">
      <c r="A220" s="145">
        <v>605713</v>
      </c>
      <c r="B220" s="146" t="s">
        <v>285</v>
      </c>
      <c r="C220" s="147">
        <v>1</v>
      </c>
      <c r="D220" s="146">
        <v>2.9</v>
      </c>
      <c r="E220" s="164">
        <f t="shared" si="24"/>
        <v>2.9</v>
      </c>
    </row>
    <row r="222" spans="1:23" x14ac:dyDescent="0.3">
      <c r="A222" s="142" t="s">
        <v>66</v>
      </c>
      <c r="F222" s="139" t="s">
        <v>170</v>
      </c>
      <c r="G222" s="137">
        <v>1</v>
      </c>
      <c r="H222" s="143">
        <v>245</v>
      </c>
      <c r="I222" s="143">
        <f>H222-G226</f>
        <v>41.600000000000023</v>
      </c>
      <c r="O222" s="265" t="str">
        <f>A222</f>
        <v>Adapter cable</v>
      </c>
      <c r="P222" s="266">
        <f>100/G226*G224</f>
        <v>55.752212389380531</v>
      </c>
      <c r="Q222" s="180">
        <f>100/G226*G225</f>
        <v>44.247787610619469</v>
      </c>
      <c r="R222" s="137">
        <f>Q222+P222</f>
        <v>100</v>
      </c>
      <c r="S222" s="195">
        <f>IF('TW - ASML Scara XT'!E62&lt;&gt;0,'Calc.'!P222,0)</f>
        <v>0</v>
      </c>
      <c r="T222" s="195">
        <f>IF('TW - ASML Scara XT'!E62&lt;&gt;0,'Calc.'!Q222,0)</f>
        <v>0</v>
      </c>
      <c r="U222" s="212">
        <f>S222*G226/100</f>
        <v>0</v>
      </c>
      <c r="V222" s="212">
        <f>T222*G226/100</f>
        <v>0</v>
      </c>
      <c r="W222" s="143">
        <f>V222+U222</f>
        <v>0</v>
      </c>
    </row>
    <row r="223" spans="1:23" x14ac:dyDescent="0.3">
      <c r="A223" s="279" t="s">
        <v>172</v>
      </c>
      <c r="B223" s="280"/>
      <c r="C223" s="280"/>
      <c r="D223" s="280"/>
      <c r="E223" s="284"/>
      <c r="F223" s="139" t="s">
        <v>173</v>
      </c>
      <c r="G223" s="137">
        <f>$M$2</f>
        <v>1.4</v>
      </c>
      <c r="H223" s="143"/>
      <c r="I223" s="143"/>
    </row>
    <row r="224" spans="1:23" x14ac:dyDescent="0.3">
      <c r="A224" s="144" t="s">
        <v>286</v>
      </c>
      <c r="B224" s="137" t="s">
        <v>287</v>
      </c>
      <c r="C224" s="138">
        <v>1</v>
      </c>
      <c r="D224" s="137">
        <v>81</v>
      </c>
      <c r="E224" s="155">
        <f t="shared" ref="E224" si="25">D224*C224</f>
        <v>81</v>
      </c>
      <c r="F224" s="175" t="s">
        <v>166</v>
      </c>
      <c r="G224" s="176">
        <f>SUM(E224)*G223</f>
        <v>113.39999999999999</v>
      </c>
      <c r="H224" s="143"/>
      <c r="I224" s="143"/>
    </row>
    <row r="225" spans="1:23" x14ac:dyDescent="0.3">
      <c r="A225" s="162"/>
      <c r="B225" s="146"/>
      <c r="C225" s="147"/>
      <c r="D225" s="146"/>
      <c r="E225" s="146"/>
      <c r="F225" s="175" t="s">
        <v>170</v>
      </c>
      <c r="G225" s="176">
        <f>G222*Stundensatz</f>
        <v>90</v>
      </c>
      <c r="H225" s="143"/>
      <c r="I225" s="143"/>
    </row>
    <row r="226" spans="1:23" x14ac:dyDescent="0.3">
      <c r="F226" s="175" t="s">
        <v>182</v>
      </c>
      <c r="G226" s="176">
        <f>SUM(G224:G225)</f>
        <v>203.39999999999998</v>
      </c>
      <c r="H226" s="143"/>
      <c r="I226" s="143"/>
    </row>
    <row r="227" spans="1:23" x14ac:dyDescent="0.3">
      <c r="A227" s="213"/>
      <c r="B227" s="213"/>
      <c r="C227" s="215"/>
      <c r="D227" s="213"/>
      <c r="E227" s="213"/>
      <c r="F227" s="216"/>
      <c r="G227" s="213"/>
      <c r="H227" s="217"/>
      <c r="I227" s="213"/>
    </row>
    <row r="228" spans="1:23" x14ac:dyDescent="0.3">
      <c r="A228" s="196" t="s">
        <v>288</v>
      </c>
      <c r="B228" s="213"/>
      <c r="C228" s="215"/>
      <c r="D228" s="213"/>
      <c r="E228" s="213"/>
      <c r="F228" s="216" t="s">
        <v>170</v>
      </c>
      <c r="G228" s="213">
        <v>5.5</v>
      </c>
      <c r="H228" s="217">
        <v>1070</v>
      </c>
      <c r="I228" s="212">
        <f>H228-G232</f>
        <v>211.02800000000002</v>
      </c>
      <c r="O228" s="265" t="str">
        <f>A228</f>
        <v>bearings arm</v>
      </c>
      <c r="P228" s="266">
        <f>100/G232*G230</f>
        <v>42.372976069068606</v>
      </c>
      <c r="Q228" s="180">
        <f>100/G232*G231</f>
        <v>57.627023930931394</v>
      </c>
      <c r="R228" s="137">
        <f>Q228+P228</f>
        <v>100</v>
      </c>
      <c r="S228" s="195">
        <f>IF('TW - ASML Scara XT'!E46&lt;&gt;0,'Calc.'!P228,0)</f>
        <v>0</v>
      </c>
      <c r="T228" s="195">
        <f>IF('TW - ASML Scara XT'!E46&lt;&gt;0,'Calc.'!Q228,0)</f>
        <v>0</v>
      </c>
      <c r="U228" s="212">
        <f>S228*G232/100</f>
        <v>0</v>
      </c>
      <c r="V228" s="212">
        <f>T228*G232/100</f>
        <v>0</v>
      </c>
      <c r="W228" s="143">
        <f>V228+U228</f>
        <v>0</v>
      </c>
    </row>
    <row r="229" spans="1:23" outlineLevel="1" x14ac:dyDescent="0.3">
      <c r="A229" s="281" t="s">
        <v>172</v>
      </c>
      <c r="B229" s="282"/>
      <c r="C229" s="282"/>
      <c r="D229" s="282"/>
      <c r="E229" s="282"/>
      <c r="F229" s="216" t="s">
        <v>173</v>
      </c>
      <c r="G229" s="213">
        <f>$M$2</f>
        <v>1.4</v>
      </c>
      <c r="H229" s="217"/>
      <c r="I229" s="213"/>
    </row>
    <row r="230" spans="1:23" outlineLevel="1" x14ac:dyDescent="0.3">
      <c r="A230" s="218" t="s">
        <v>289</v>
      </c>
      <c r="B230" s="213" t="s">
        <v>290</v>
      </c>
      <c r="C230" s="215">
        <v>1</v>
      </c>
      <c r="D230" s="213">
        <v>117.47</v>
      </c>
      <c r="E230" s="212">
        <f t="shared" ref="E230:E232" si="26">D230*C230</f>
        <v>117.47</v>
      </c>
      <c r="F230" s="216" t="s">
        <v>166</v>
      </c>
      <c r="G230" s="212">
        <f>SUM(E230:E232)*G229</f>
        <v>363.97199999999998</v>
      </c>
      <c r="H230" s="217"/>
      <c r="I230" s="213"/>
    </row>
    <row r="231" spans="1:23" outlineLevel="1" x14ac:dyDescent="0.3">
      <c r="A231" s="218" t="s">
        <v>291</v>
      </c>
      <c r="B231" s="213" t="s">
        <v>290</v>
      </c>
      <c r="C231" s="215">
        <v>1</v>
      </c>
      <c r="D231" s="213">
        <v>135.54</v>
      </c>
      <c r="E231" s="212">
        <f t="shared" si="26"/>
        <v>135.54</v>
      </c>
      <c r="F231" s="219" t="s">
        <v>170</v>
      </c>
      <c r="G231" s="220">
        <f>G228*Stundensatz</f>
        <v>495</v>
      </c>
      <c r="H231" s="217"/>
      <c r="I231" s="213"/>
    </row>
    <row r="232" spans="1:23" outlineLevel="1" x14ac:dyDescent="0.3">
      <c r="A232" s="221" t="s">
        <v>233</v>
      </c>
      <c r="B232" s="222" t="s">
        <v>234</v>
      </c>
      <c r="C232" s="223">
        <v>1</v>
      </c>
      <c r="D232" s="222">
        <v>6.97</v>
      </c>
      <c r="E232" s="224">
        <f t="shared" si="26"/>
        <v>6.97</v>
      </c>
      <c r="F232" s="219" t="s">
        <v>182</v>
      </c>
      <c r="G232" s="220">
        <f>SUM(G230:G231)</f>
        <v>858.97199999999998</v>
      </c>
      <c r="H232" s="217"/>
      <c r="I232" s="213"/>
    </row>
    <row r="233" spans="1:23" x14ac:dyDescent="0.3">
      <c r="A233" s="213"/>
      <c r="B233" s="213"/>
      <c r="C233" s="215"/>
      <c r="D233" s="213"/>
      <c r="E233" s="213"/>
      <c r="F233" s="216"/>
      <c r="G233" s="213"/>
      <c r="H233" s="217"/>
      <c r="I233" s="213"/>
    </row>
    <row r="234" spans="1:23" x14ac:dyDescent="0.3">
      <c r="A234" s="225"/>
      <c r="B234" s="213"/>
      <c r="C234" s="215"/>
      <c r="D234" s="213"/>
      <c r="E234" s="213"/>
      <c r="F234" s="216"/>
      <c r="G234" s="213"/>
      <c r="H234" s="217"/>
      <c r="I234" s="213"/>
    </row>
    <row r="235" spans="1:23" x14ac:dyDescent="0.3">
      <c r="A235" s="196" t="s">
        <v>62</v>
      </c>
      <c r="B235" s="213"/>
      <c r="C235" s="215"/>
      <c r="D235" s="213"/>
      <c r="E235" s="213"/>
      <c r="F235" s="216" t="s">
        <v>170</v>
      </c>
      <c r="G235" s="213">
        <v>2.5</v>
      </c>
      <c r="H235" s="217">
        <v>852.09</v>
      </c>
      <c r="I235" s="212">
        <f>H235-G239</f>
        <v>130.37</v>
      </c>
      <c r="O235" s="265" t="str">
        <f>A235</f>
        <v>guiding shafts Scara</v>
      </c>
      <c r="P235" s="266">
        <f>100/G239*G237</f>
        <v>68.824474865598845</v>
      </c>
      <c r="Q235" s="180">
        <f>100/G239*G238</f>
        <v>31.175525134401155</v>
      </c>
      <c r="R235" s="137">
        <f>Q235+P235</f>
        <v>100</v>
      </c>
      <c r="S235" s="195">
        <f>IF('TW - ASML Scara XT'!E58&lt;&gt;0,'Calc.'!P235,0)</f>
        <v>0</v>
      </c>
      <c r="T235" s="195">
        <f>IF('TW - ASML Scara XT'!E58&lt;&gt;0,'Calc.'!Q235,0)</f>
        <v>0</v>
      </c>
      <c r="U235" s="212">
        <f>S235*G239/100</f>
        <v>0</v>
      </c>
      <c r="V235" s="212">
        <f>T235*G239/100</f>
        <v>0</v>
      </c>
      <c r="W235" s="143">
        <f>V235+U235</f>
        <v>0</v>
      </c>
    </row>
    <row r="236" spans="1:23" outlineLevel="1" x14ac:dyDescent="0.3">
      <c r="A236" s="281" t="s">
        <v>172</v>
      </c>
      <c r="B236" s="282"/>
      <c r="C236" s="282"/>
      <c r="D236" s="282"/>
      <c r="E236" s="282"/>
      <c r="F236" s="216" t="s">
        <v>173</v>
      </c>
      <c r="G236" s="213">
        <f>$M$2</f>
        <v>1.4</v>
      </c>
      <c r="H236" s="217"/>
      <c r="I236" s="213"/>
    </row>
    <row r="237" spans="1:23" outlineLevel="1" x14ac:dyDescent="0.3">
      <c r="A237" s="218">
        <v>609808</v>
      </c>
      <c r="B237" s="213" t="s">
        <v>200</v>
      </c>
      <c r="C237" s="215">
        <v>1</v>
      </c>
      <c r="D237" s="213">
        <v>47.1</v>
      </c>
      <c r="E237" s="212">
        <f t="shared" ref="E237:E238" si="27">D237*C237</f>
        <v>47.1</v>
      </c>
      <c r="F237" s="216" t="s">
        <v>166</v>
      </c>
      <c r="G237" s="212">
        <f>SUM(E237:E238)*G236</f>
        <v>496.71999999999997</v>
      </c>
      <c r="H237" s="213"/>
      <c r="I237" s="213"/>
    </row>
    <row r="238" spans="1:23" outlineLevel="1" x14ac:dyDescent="0.3">
      <c r="A238" s="221">
        <v>605704</v>
      </c>
      <c r="B238" s="222" t="s">
        <v>292</v>
      </c>
      <c r="C238" s="223">
        <v>1</v>
      </c>
      <c r="D238" s="222">
        <v>307.7</v>
      </c>
      <c r="E238" s="224">
        <f t="shared" si="27"/>
        <v>307.7</v>
      </c>
      <c r="F238" s="219" t="s">
        <v>170</v>
      </c>
      <c r="G238" s="220">
        <f>G235*Stundensatz</f>
        <v>225</v>
      </c>
      <c r="H238" s="213"/>
      <c r="I238" s="213"/>
    </row>
    <row r="239" spans="1:23" x14ac:dyDescent="0.3">
      <c r="A239" s="213"/>
      <c r="B239" s="213"/>
      <c r="C239" s="215"/>
      <c r="D239" s="213"/>
      <c r="E239" s="213"/>
      <c r="F239" s="219" t="s">
        <v>182</v>
      </c>
      <c r="G239" s="220">
        <f>SUM(G237:G238)</f>
        <v>721.72</v>
      </c>
      <c r="H239" s="213"/>
      <c r="I239" s="213"/>
    </row>
    <row r="240" spans="1:23" x14ac:dyDescent="0.3">
      <c r="A240" s="213"/>
      <c r="B240" s="213"/>
      <c r="C240" s="215"/>
      <c r="D240" s="213"/>
      <c r="E240" s="213"/>
      <c r="F240" s="216"/>
      <c r="G240" s="213"/>
      <c r="H240" s="213"/>
      <c r="I240" s="213"/>
      <c r="O240" s="265"/>
      <c r="P240" s="266"/>
      <c r="Q240" s="180"/>
    </row>
    <row r="241" spans="1:23" x14ac:dyDescent="0.3">
      <c r="A241" s="196" t="s">
        <v>63</v>
      </c>
      <c r="B241" s="213"/>
      <c r="C241" s="215"/>
      <c r="D241" s="213"/>
      <c r="E241" s="213"/>
      <c r="F241" s="216" t="s">
        <v>170</v>
      </c>
      <c r="G241" s="213">
        <v>2.5</v>
      </c>
      <c r="H241" s="217">
        <v>918.81</v>
      </c>
      <c r="I241" s="212">
        <f>H241-G245</f>
        <v>143.88999999999999</v>
      </c>
      <c r="O241" s="265" t="str">
        <f>A241</f>
        <v>guiding shafts NT</v>
      </c>
      <c r="P241" s="266">
        <f>100/G245*G243</f>
        <v>70.964744747844932</v>
      </c>
      <c r="Q241" s="180">
        <f>100/G245*G244</f>
        <v>29.035255252155061</v>
      </c>
      <c r="R241" s="137">
        <f>Q241+P241</f>
        <v>100</v>
      </c>
      <c r="S241" s="195">
        <f>IF('TW - ASML Scara XT'!E59&lt;&gt;0,'Calc.'!P241,0)</f>
        <v>0</v>
      </c>
      <c r="T241" s="195">
        <f>IF('TW - ASML Scara XT'!E59&lt;&gt;0,'Calc.'!Q241,0)</f>
        <v>0</v>
      </c>
      <c r="U241" s="212">
        <f>S241*G245/100</f>
        <v>0</v>
      </c>
      <c r="V241" s="212">
        <f>T241*G245/100</f>
        <v>0</v>
      </c>
      <c r="W241" s="143">
        <f>V241+U241</f>
        <v>0</v>
      </c>
    </row>
    <row r="242" spans="1:23" outlineLevel="1" x14ac:dyDescent="0.3">
      <c r="A242" s="281" t="s">
        <v>172</v>
      </c>
      <c r="B242" s="282"/>
      <c r="C242" s="282"/>
      <c r="D242" s="282"/>
      <c r="E242" s="282"/>
      <c r="F242" s="216" t="s">
        <v>173</v>
      </c>
      <c r="G242" s="213">
        <f>$M$2</f>
        <v>1.4</v>
      </c>
      <c r="H242" s="213"/>
      <c r="I242" s="213"/>
    </row>
    <row r="243" spans="1:23" outlineLevel="1" x14ac:dyDescent="0.3">
      <c r="A243" s="218">
        <v>609808</v>
      </c>
      <c r="B243" s="213" t="s">
        <v>200</v>
      </c>
      <c r="C243" s="215">
        <v>1</v>
      </c>
      <c r="D243" s="213">
        <v>47.1</v>
      </c>
      <c r="E243" s="212">
        <f t="shared" ref="E243:E244" si="28">D243*C243</f>
        <v>47.1</v>
      </c>
      <c r="F243" s="216" t="s">
        <v>166</v>
      </c>
      <c r="G243" s="212">
        <f>SUM(E243:E244)*G242</f>
        <v>549.91999999999996</v>
      </c>
      <c r="H243" s="213"/>
      <c r="I243" s="213"/>
    </row>
    <row r="244" spans="1:23" outlineLevel="1" x14ac:dyDescent="0.3">
      <c r="A244" s="221">
        <v>607171</v>
      </c>
      <c r="B244" s="222" t="s">
        <v>292</v>
      </c>
      <c r="C244" s="223">
        <v>1</v>
      </c>
      <c r="D244" s="222">
        <v>345.7</v>
      </c>
      <c r="E244" s="224">
        <f t="shared" si="28"/>
        <v>345.7</v>
      </c>
      <c r="F244" s="219" t="s">
        <v>170</v>
      </c>
      <c r="G244" s="220">
        <f>G241*Stundensatz</f>
        <v>225</v>
      </c>
      <c r="H244" s="213"/>
      <c r="I244" s="213"/>
    </row>
    <row r="245" spans="1:23" x14ac:dyDescent="0.3">
      <c r="A245" s="213"/>
      <c r="B245" s="213"/>
      <c r="C245" s="215"/>
      <c r="D245" s="213"/>
      <c r="E245" s="213"/>
      <c r="F245" s="219" t="s">
        <v>182</v>
      </c>
      <c r="G245" s="220">
        <f>SUM(G243:G244)</f>
        <v>774.92</v>
      </c>
      <c r="H245" s="213"/>
      <c r="I245" s="213"/>
    </row>
    <row r="246" spans="1:23" x14ac:dyDescent="0.3">
      <c r="A246" s="213"/>
      <c r="B246" s="213"/>
      <c r="C246" s="215"/>
      <c r="D246" s="213"/>
      <c r="E246" s="213"/>
      <c r="F246" s="216"/>
      <c r="G246" s="213"/>
      <c r="H246" s="213"/>
      <c r="I246" s="213"/>
    </row>
    <row r="247" spans="1:23" x14ac:dyDescent="0.3">
      <c r="A247" s="196" t="s">
        <v>57</v>
      </c>
      <c r="B247" s="213"/>
      <c r="C247" s="215"/>
      <c r="D247" s="213"/>
      <c r="E247" s="213"/>
      <c r="F247" s="216" t="s">
        <v>170</v>
      </c>
      <c r="G247" s="213">
        <v>6</v>
      </c>
      <c r="H247" s="217">
        <v>1495</v>
      </c>
      <c r="I247" s="212">
        <f>H247-G251</f>
        <v>266.31200000000013</v>
      </c>
      <c r="O247" s="265" t="str">
        <f>A247</f>
        <v>Hollow shaft</v>
      </c>
      <c r="P247" s="266">
        <f>100/G251*G249</f>
        <v>56.050681702759363</v>
      </c>
      <c r="Q247" s="180">
        <f>100/G251*G250</f>
        <v>43.949318297240644</v>
      </c>
      <c r="R247" s="180">
        <f>Q247+P247</f>
        <v>100</v>
      </c>
      <c r="S247" s="195">
        <f>IF('TW - ASML Scara XT'!E53&lt;&gt;0,'Calc.'!P247,0)</f>
        <v>0</v>
      </c>
      <c r="T247" s="195">
        <f>IF('TW - ASML Scara XT'!F53&lt;&gt;0,'Calc.'!Q247,0)</f>
        <v>0</v>
      </c>
      <c r="U247" s="212">
        <f>S247*G251/100</f>
        <v>0</v>
      </c>
      <c r="V247" s="212">
        <f>T247*G251/100</f>
        <v>0</v>
      </c>
      <c r="W247" s="143">
        <f>V247+U247</f>
        <v>0</v>
      </c>
    </row>
    <row r="248" spans="1:23" outlineLevel="1" x14ac:dyDescent="0.3">
      <c r="A248" s="281" t="s">
        <v>172</v>
      </c>
      <c r="B248" s="282"/>
      <c r="C248" s="282"/>
      <c r="D248" s="282"/>
      <c r="E248" s="283"/>
      <c r="F248" s="216" t="s">
        <v>173</v>
      </c>
      <c r="G248" s="213">
        <f>$M$2</f>
        <v>1.4</v>
      </c>
      <c r="H248" s="213"/>
      <c r="I248" s="213"/>
    </row>
    <row r="249" spans="1:23" outlineLevel="1" x14ac:dyDescent="0.3">
      <c r="A249" s="226">
        <v>603106</v>
      </c>
      <c r="B249" s="213" t="s">
        <v>293</v>
      </c>
      <c r="C249" s="215">
        <v>1</v>
      </c>
      <c r="D249" s="213">
        <v>34.270000000000003</v>
      </c>
      <c r="E249" s="227">
        <f t="shared" ref="E249:E252" si="29">D249*C249</f>
        <v>34.270000000000003</v>
      </c>
      <c r="F249" s="216" t="s">
        <v>166</v>
      </c>
      <c r="G249" s="212">
        <f>SUM(E249:E252)*G248</f>
        <v>688.68799999999987</v>
      </c>
      <c r="H249" s="213"/>
      <c r="I249" s="213"/>
    </row>
    <row r="250" spans="1:23" outlineLevel="1" x14ac:dyDescent="0.3">
      <c r="A250" s="226">
        <v>603107</v>
      </c>
      <c r="B250" s="213" t="s">
        <v>294</v>
      </c>
      <c r="C250" s="215">
        <v>1</v>
      </c>
      <c r="D250" s="213">
        <v>432.46</v>
      </c>
      <c r="E250" s="227">
        <f t="shared" si="29"/>
        <v>432.46</v>
      </c>
      <c r="F250" s="219" t="s">
        <v>170</v>
      </c>
      <c r="G250" s="220">
        <f>G247*Stundensatz</f>
        <v>540</v>
      </c>
      <c r="H250" s="213"/>
      <c r="I250" s="213"/>
    </row>
    <row r="251" spans="1:23" outlineLevel="1" x14ac:dyDescent="0.3">
      <c r="A251" s="218" t="s">
        <v>247</v>
      </c>
      <c r="B251" s="213" t="s">
        <v>248</v>
      </c>
      <c r="C251" s="215">
        <v>1</v>
      </c>
      <c r="D251" s="213">
        <v>11.1</v>
      </c>
      <c r="E251" s="227">
        <f t="shared" si="29"/>
        <v>11.1</v>
      </c>
      <c r="F251" s="219" t="s">
        <v>182</v>
      </c>
      <c r="G251" s="220">
        <f>SUM(G249:G250)</f>
        <v>1228.6879999999999</v>
      </c>
      <c r="H251" s="213"/>
      <c r="I251" s="213"/>
    </row>
    <row r="252" spans="1:23" outlineLevel="1" x14ac:dyDescent="0.3">
      <c r="A252" s="221" t="s">
        <v>295</v>
      </c>
      <c r="B252" s="222" t="s">
        <v>296</v>
      </c>
      <c r="C252" s="223">
        <v>1</v>
      </c>
      <c r="D252" s="222">
        <v>14.09</v>
      </c>
      <c r="E252" s="228">
        <f t="shared" si="29"/>
        <v>14.09</v>
      </c>
      <c r="F252" s="216"/>
      <c r="G252" s="213"/>
      <c r="H252" s="213"/>
      <c r="I252" s="213"/>
    </row>
    <row r="253" spans="1:23" outlineLevel="1" x14ac:dyDescent="0.3">
      <c r="E253" s="143"/>
    </row>
    <row r="256" spans="1:23" x14ac:dyDescent="0.3">
      <c r="A256" s="196" t="s">
        <v>297</v>
      </c>
      <c r="B256" s="213"/>
      <c r="C256" s="215"/>
      <c r="D256" s="213"/>
      <c r="E256" s="213"/>
      <c r="F256" s="216" t="s">
        <v>170</v>
      </c>
      <c r="G256" s="213">
        <v>0.5</v>
      </c>
      <c r="H256" s="217"/>
      <c r="I256" s="212">
        <f>H256-G260</f>
        <v>-110.94</v>
      </c>
      <c r="O256" s="265" t="str">
        <f>A256</f>
        <v>small guiding shaft (VA-Welle)</v>
      </c>
      <c r="P256" s="266">
        <f>100/G260*G258</f>
        <v>59.437533802055164</v>
      </c>
      <c r="Q256" s="180">
        <f>100/G260*G259</f>
        <v>40.562466197944836</v>
      </c>
      <c r="R256" s="180">
        <f>Q256+P256</f>
        <v>100</v>
      </c>
      <c r="S256" s="195">
        <f>IF('TW - ASML Scara XT'!E60&lt;&gt;0,'Calc.'!P256,0)</f>
        <v>0</v>
      </c>
      <c r="T256" s="195">
        <f>IF('TW - ASML Scara XT'!F60&lt;&gt;0,'Calc.'!Q256,0)</f>
        <v>0</v>
      </c>
      <c r="U256" s="212">
        <f>S256*G260/100</f>
        <v>0</v>
      </c>
      <c r="V256" s="212">
        <f>T256*G260/100</f>
        <v>0</v>
      </c>
      <c r="W256" s="143">
        <f>V256+U256</f>
        <v>0</v>
      </c>
    </row>
    <row r="257" spans="1:23" outlineLevel="1" x14ac:dyDescent="0.3">
      <c r="A257" s="281" t="s">
        <v>172</v>
      </c>
      <c r="B257" s="282"/>
      <c r="C257" s="282"/>
      <c r="D257" s="282"/>
      <c r="E257" s="282"/>
      <c r="F257" s="216" t="s">
        <v>173</v>
      </c>
      <c r="G257" s="213">
        <f>$M$2</f>
        <v>1.4</v>
      </c>
      <c r="H257" s="213"/>
      <c r="I257" s="213"/>
    </row>
    <row r="258" spans="1:23" outlineLevel="1" x14ac:dyDescent="0.3">
      <c r="A258" s="221">
        <v>609808</v>
      </c>
      <c r="B258" s="222" t="s">
        <v>200</v>
      </c>
      <c r="C258" s="223">
        <v>1</v>
      </c>
      <c r="D258" s="222">
        <v>47.1</v>
      </c>
      <c r="E258" s="224">
        <f t="shared" ref="E258" si="30">D258*C258</f>
        <v>47.1</v>
      </c>
      <c r="F258" s="216" t="s">
        <v>166</v>
      </c>
      <c r="G258" s="212">
        <f>SUM(E258:E259)*G257</f>
        <v>65.94</v>
      </c>
      <c r="H258" s="213"/>
      <c r="I258" s="213"/>
    </row>
    <row r="259" spans="1:23" x14ac:dyDescent="0.3">
      <c r="A259" s="213"/>
      <c r="B259" s="213"/>
      <c r="C259" s="213"/>
      <c r="D259" s="213"/>
      <c r="E259" s="213"/>
      <c r="F259" s="219" t="s">
        <v>170</v>
      </c>
      <c r="G259" s="220">
        <f>G256*Stundensatz</f>
        <v>45</v>
      </c>
      <c r="H259" s="213"/>
      <c r="I259" s="213"/>
    </row>
    <row r="260" spans="1:23" x14ac:dyDescent="0.3">
      <c r="A260" s="213"/>
      <c r="B260" s="213"/>
      <c r="C260" s="213"/>
      <c r="D260" s="213"/>
      <c r="E260" s="213"/>
      <c r="F260" s="219" t="s">
        <v>182</v>
      </c>
      <c r="G260" s="220">
        <f>SUM(G258:G259)</f>
        <v>110.94</v>
      </c>
      <c r="H260" s="213"/>
      <c r="I260" s="213"/>
    </row>
    <row r="263" spans="1:23" ht="43.2" x14ac:dyDescent="0.3">
      <c r="A263" s="142" t="s">
        <v>298</v>
      </c>
      <c r="B263" s="142"/>
      <c r="C263" s="142"/>
      <c r="D263" s="142"/>
      <c r="E263" s="142"/>
      <c r="F263" s="268" t="s">
        <v>170</v>
      </c>
      <c r="G263" s="137">
        <v>0.5</v>
      </c>
      <c r="H263" s="243"/>
      <c r="I263" s="143"/>
      <c r="O263" s="246" t="s">
        <v>299</v>
      </c>
      <c r="P263" s="266">
        <f>100/G267*G265</f>
        <v>63.093578282621174</v>
      </c>
      <c r="Q263" s="180">
        <f>100/G267*G266</f>
        <v>36.906421717378826</v>
      </c>
      <c r="R263" s="180">
        <f>Q263+P263</f>
        <v>100</v>
      </c>
      <c r="S263" s="195">
        <f>IF('TW - ASML Scara XT'!E23&lt;&gt;0,'Calc.'!P263,0)</f>
        <v>0</v>
      </c>
      <c r="T263" s="195">
        <f>IF('TW - ASML Scara XT'!F23&lt;&gt;0,'Calc.'!Q263,0)</f>
        <v>0</v>
      </c>
      <c r="U263" s="212">
        <f>S263*G267/100</f>
        <v>0</v>
      </c>
      <c r="V263" s="212">
        <f>T263*G267/100</f>
        <v>0</v>
      </c>
      <c r="W263" s="143">
        <f>V263+U263</f>
        <v>0</v>
      </c>
    </row>
    <row r="264" spans="1:23" x14ac:dyDescent="0.3">
      <c r="A264" s="279" t="s">
        <v>172</v>
      </c>
      <c r="B264" s="280"/>
      <c r="C264" s="280"/>
      <c r="D264" s="280"/>
      <c r="E264" s="280"/>
      <c r="F264" s="268" t="s">
        <v>173</v>
      </c>
      <c r="G264" s="137">
        <v>1.4</v>
      </c>
    </row>
    <row r="265" spans="1:23" x14ac:dyDescent="0.3">
      <c r="A265" s="244">
        <v>613633</v>
      </c>
      <c r="B265" s="152" t="s">
        <v>300</v>
      </c>
      <c r="C265" s="153">
        <v>1</v>
      </c>
      <c r="D265" s="152">
        <v>16.5</v>
      </c>
      <c r="E265" s="245">
        <f t="shared" ref="E265:E270" si="31">D265*C265</f>
        <v>16.5</v>
      </c>
      <c r="F265" s="268" t="s">
        <v>166</v>
      </c>
      <c r="G265" s="143">
        <f>SUM(E265:E270)*G264</f>
        <v>76.929999999999993</v>
      </c>
    </row>
    <row r="266" spans="1:23" x14ac:dyDescent="0.3">
      <c r="A266" s="156">
        <v>613646</v>
      </c>
      <c r="B266" s="137" t="s">
        <v>301</v>
      </c>
      <c r="C266" s="138">
        <v>1</v>
      </c>
      <c r="D266" s="137">
        <v>16</v>
      </c>
      <c r="E266" s="155">
        <f t="shared" si="31"/>
        <v>16</v>
      </c>
      <c r="F266" s="175" t="s">
        <v>170</v>
      </c>
      <c r="G266" s="176">
        <f>G263*Stundensatz</f>
        <v>45</v>
      </c>
    </row>
    <row r="267" spans="1:23" x14ac:dyDescent="0.3">
      <c r="A267" s="144" t="s">
        <v>302</v>
      </c>
      <c r="B267" s="137" t="s">
        <v>303</v>
      </c>
      <c r="C267" s="138">
        <v>2</v>
      </c>
      <c r="D267" s="137">
        <v>0.2</v>
      </c>
      <c r="E267" s="155">
        <f t="shared" si="31"/>
        <v>0.4</v>
      </c>
      <c r="F267" s="175" t="s">
        <v>182</v>
      </c>
      <c r="G267" s="176">
        <f>SUM(G265:G266)</f>
        <v>121.92999999999999</v>
      </c>
    </row>
    <row r="268" spans="1:23" x14ac:dyDescent="0.3">
      <c r="A268" s="144" t="s">
        <v>304</v>
      </c>
      <c r="B268" s="137" t="s">
        <v>305</v>
      </c>
      <c r="C268" s="138">
        <v>1</v>
      </c>
      <c r="D268" s="137">
        <v>0.5</v>
      </c>
      <c r="E268" s="155">
        <f t="shared" si="31"/>
        <v>0.5</v>
      </c>
    </row>
    <row r="269" spans="1:23" x14ac:dyDescent="0.3">
      <c r="A269" s="269" t="s">
        <v>306</v>
      </c>
      <c r="B269" s="264" t="s">
        <v>307</v>
      </c>
      <c r="C269" s="138">
        <v>1</v>
      </c>
      <c r="D269" s="137">
        <v>11.55</v>
      </c>
      <c r="E269" s="155">
        <f t="shared" si="31"/>
        <v>11.55</v>
      </c>
      <c r="R269" s="264" t="s">
        <v>308</v>
      </c>
    </row>
    <row r="270" spans="1:23" x14ac:dyDescent="0.3">
      <c r="A270" s="162"/>
      <c r="B270" s="247" t="s">
        <v>309</v>
      </c>
      <c r="C270" s="147">
        <v>1</v>
      </c>
      <c r="D270" s="146">
        <v>10</v>
      </c>
      <c r="E270" s="164">
        <f t="shared" si="31"/>
        <v>10</v>
      </c>
      <c r="O270" s="214" t="s">
        <v>70</v>
      </c>
      <c r="P270" s="137">
        <v>0</v>
      </c>
      <c r="Q270" s="137">
        <v>100</v>
      </c>
      <c r="R270" s="180">
        <f>'TW - ASML Scara XT'!F67</f>
        <v>1575</v>
      </c>
      <c r="S270" s="195">
        <f>IF('TW - ASML Scara XT'!E67&lt;&gt;0,'Calc.'!P270,0)</f>
        <v>0</v>
      </c>
      <c r="T270" s="195">
        <f>IF('TW - ASML Scara XT'!E67&lt;&gt;0,'Calc.'!Q270,0)</f>
        <v>100</v>
      </c>
      <c r="U270" s="212">
        <f t="shared" ref="U270:U282" si="32">S270*R270/100</f>
        <v>0</v>
      </c>
      <c r="V270" s="212">
        <f t="shared" ref="V270:V282" si="33">T270*R270/100</f>
        <v>1575</v>
      </c>
      <c r="W270" s="143">
        <f t="shared" ref="W270:W282" si="34">V270+U270</f>
        <v>1575</v>
      </c>
    </row>
    <row r="271" spans="1:23" x14ac:dyDescent="0.3">
      <c r="O271" s="214" t="s">
        <v>310</v>
      </c>
      <c r="P271" s="137">
        <v>0</v>
      </c>
      <c r="Q271" s="137">
        <v>100</v>
      </c>
      <c r="R271" s="180">
        <f>'TW - ASML Scara XT'!F68</f>
        <v>0</v>
      </c>
      <c r="S271" s="195">
        <f>IF('TW - ASML Scara XT'!E68&lt;&gt;0,'Calc.'!P271,0)</f>
        <v>0</v>
      </c>
      <c r="T271" s="195">
        <f>IF('TW - ASML Scara XT'!E68&lt;&gt;0,'Calc.'!Q271,0)</f>
        <v>0</v>
      </c>
      <c r="U271" s="212">
        <f t="shared" si="32"/>
        <v>0</v>
      </c>
      <c r="V271" s="212">
        <f t="shared" si="33"/>
        <v>0</v>
      </c>
      <c r="W271" s="143">
        <f t="shared" si="34"/>
        <v>0</v>
      </c>
    </row>
    <row r="272" spans="1:23" x14ac:dyDescent="0.3">
      <c r="O272" s="214" t="s">
        <v>73</v>
      </c>
      <c r="P272" s="137">
        <v>100</v>
      </c>
      <c r="Q272" s="137">
        <v>0</v>
      </c>
      <c r="R272" s="180">
        <f>'TW - ASML Scara XT'!F69</f>
        <v>0</v>
      </c>
      <c r="S272" s="195">
        <f>IF('TW - ASML Scara XT'!E69&lt;&gt;0,'Calc.'!P272,0)</f>
        <v>0</v>
      </c>
      <c r="T272" s="195">
        <f>IF('TW - ASML Scara XT'!E69&lt;&gt;0,'Calc.'!Q272,0)</f>
        <v>0</v>
      </c>
      <c r="U272" s="212">
        <f t="shared" si="32"/>
        <v>0</v>
      </c>
      <c r="V272" s="212">
        <f t="shared" si="33"/>
        <v>0</v>
      </c>
      <c r="W272" s="143">
        <f t="shared" si="34"/>
        <v>0</v>
      </c>
    </row>
    <row r="273" spans="1:23" x14ac:dyDescent="0.3">
      <c r="O273" s="214" t="s">
        <v>311</v>
      </c>
      <c r="P273" s="137">
        <v>50</v>
      </c>
      <c r="Q273" s="137">
        <v>50</v>
      </c>
      <c r="R273" s="180">
        <f>'TW - ASML Scara XT'!F70</f>
        <v>0</v>
      </c>
      <c r="S273" s="195">
        <f>IF('TW - ASML Scara XT'!E70&lt;&gt;0,'Calc.'!P273,0)</f>
        <v>0</v>
      </c>
      <c r="T273" s="195">
        <f>IF('TW - ASML Scara XT'!E70&lt;&gt;0,'Calc.'!Q273,0)</f>
        <v>0</v>
      </c>
      <c r="U273" s="212">
        <f t="shared" si="32"/>
        <v>0</v>
      </c>
      <c r="V273" s="212">
        <f t="shared" si="33"/>
        <v>0</v>
      </c>
      <c r="W273" s="143">
        <f t="shared" si="34"/>
        <v>0</v>
      </c>
    </row>
    <row r="274" spans="1:23" x14ac:dyDescent="0.3">
      <c r="C274" s="137"/>
      <c r="F274" s="137"/>
      <c r="O274" s="214" t="s">
        <v>312</v>
      </c>
      <c r="P274" s="137">
        <v>100</v>
      </c>
      <c r="Q274" s="137">
        <v>0</v>
      </c>
      <c r="R274" s="180">
        <f>'TW - ASML Scara XT'!F71</f>
        <v>0</v>
      </c>
      <c r="S274" s="195">
        <f>IF('TW - ASML Scara XT'!E71&lt;&gt;0,'Calc.'!P274,0)</f>
        <v>0</v>
      </c>
      <c r="T274" s="195">
        <f>IF('TW - ASML Scara XT'!E71&lt;&gt;0,'Calc.'!Q274,0)</f>
        <v>0</v>
      </c>
      <c r="U274" s="212">
        <f t="shared" si="32"/>
        <v>0</v>
      </c>
      <c r="V274" s="212">
        <f t="shared" si="33"/>
        <v>0</v>
      </c>
      <c r="W274" s="143">
        <f t="shared" si="34"/>
        <v>0</v>
      </c>
    </row>
    <row r="275" spans="1:23" x14ac:dyDescent="0.3">
      <c r="C275" s="137"/>
      <c r="F275" s="137"/>
      <c r="O275" s="214" t="s">
        <v>76</v>
      </c>
      <c r="P275" s="137">
        <v>33</v>
      </c>
      <c r="Q275" s="137">
        <v>67</v>
      </c>
      <c r="R275" s="180">
        <f>'TW - ASML Scara XT'!F72</f>
        <v>1646.3314638009499</v>
      </c>
      <c r="S275" s="195">
        <f>IF('TW - ASML Scara XT'!E72&lt;&gt;0,'Calc.'!P275,0)</f>
        <v>33</v>
      </c>
      <c r="T275" s="195">
        <f>IF('TW - ASML Scara XT'!E72&lt;&gt;0,'Calc.'!Q275,0)</f>
        <v>67</v>
      </c>
      <c r="U275" s="212">
        <f t="shared" si="32"/>
        <v>543.28938305431348</v>
      </c>
      <c r="V275" s="212">
        <f t="shared" si="33"/>
        <v>1103.0420807466364</v>
      </c>
      <c r="W275" s="143">
        <f t="shared" si="34"/>
        <v>1646.3314638009499</v>
      </c>
    </row>
    <row r="276" spans="1:23" x14ac:dyDescent="0.3">
      <c r="O276" s="214" t="s">
        <v>78</v>
      </c>
      <c r="P276" s="137">
        <v>50</v>
      </c>
      <c r="Q276" s="137">
        <v>50</v>
      </c>
      <c r="R276" s="180">
        <f>'TW - ASML Scara XT'!F73</f>
        <v>0</v>
      </c>
      <c r="S276" s="195">
        <f>IF('TW - ASML Scara XT'!E73&lt;&gt;0,'Calc.'!P276,0)</f>
        <v>0</v>
      </c>
      <c r="T276" s="195">
        <f>IF('TW - ASML Scara XT'!E73&lt;&gt;0,'Calc.'!Q276,0)</f>
        <v>0</v>
      </c>
      <c r="U276" s="212">
        <f t="shared" si="32"/>
        <v>0</v>
      </c>
      <c r="V276" s="212">
        <f t="shared" si="33"/>
        <v>0</v>
      </c>
      <c r="W276" s="143">
        <f t="shared" si="34"/>
        <v>0</v>
      </c>
    </row>
    <row r="277" spans="1:23" x14ac:dyDescent="0.3">
      <c r="O277" s="214" t="s">
        <v>79</v>
      </c>
      <c r="P277" s="137">
        <v>50</v>
      </c>
      <c r="Q277" s="137">
        <v>50</v>
      </c>
      <c r="R277" s="180">
        <f>'TW - ASML Scara XT'!F74</f>
        <v>150</v>
      </c>
      <c r="S277" s="195">
        <f>IF('TW - ASML Scara XT'!E74&lt;&gt;0,'Calc.'!P277,0)</f>
        <v>50</v>
      </c>
      <c r="T277" s="195">
        <f>IF('TW - ASML Scara XT'!E74&lt;&gt;0,'Calc.'!Q277,0)</f>
        <v>50</v>
      </c>
      <c r="U277" s="212">
        <f t="shared" si="32"/>
        <v>75</v>
      </c>
      <c r="V277" s="212">
        <f t="shared" si="33"/>
        <v>75</v>
      </c>
      <c r="W277" s="143">
        <f t="shared" si="34"/>
        <v>150</v>
      </c>
    </row>
    <row r="278" spans="1:23" x14ac:dyDescent="0.3">
      <c r="A278" s="137" t="s">
        <v>313</v>
      </c>
      <c r="O278" s="214" t="s">
        <v>80</v>
      </c>
      <c r="P278" s="137">
        <v>0</v>
      </c>
      <c r="Q278" s="137">
        <v>100</v>
      </c>
      <c r="R278" s="180">
        <f>'TW - ASML Scara XT'!F75</f>
        <v>270</v>
      </c>
      <c r="S278" s="195">
        <f>IF('TW - ASML Scara XT'!E75&lt;&gt;0,'Calc.'!P278,0)</f>
        <v>0</v>
      </c>
      <c r="T278" s="195">
        <f>IF('TW - ASML Scara XT'!E75&lt;&gt;0,'Calc.'!Q278,0)</f>
        <v>100</v>
      </c>
      <c r="U278" s="212">
        <f t="shared" si="32"/>
        <v>0</v>
      </c>
      <c r="V278" s="212">
        <f t="shared" si="33"/>
        <v>270</v>
      </c>
      <c r="W278" s="143">
        <f t="shared" si="34"/>
        <v>270</v>
      </c>
    </row>
    <row r="279" spans="1:23" x14ac:dyDescent="0.3">
      <c r="A279" s="137">
        <v>259.26</v>
      </c>
      <c r="B279" s="137" t="s">
        <v>314</v>
      </c>
      <c r="O279" s="214" t="s">
        <v>82</v>
      </c>
      <c r="P279" s="137">
        <v>100</v>
      </c>
      <c r="Q279" s="137">
        <v>0</v>
      </c>
      <c r="R279" s="180">
        <f>'TW - ASML Scara XT'!F76</f>
        <v>0</v>
      </c>
      <c r="S279" s="195">
        <f>IF('TW - ASML Scara XT'!E76&lt;&gt;0,'Calc.'!P279,0)</f>
        <v>0</v>
      </c>
      <c r="T279" s="195">
        <f>IF('TW - ASML Scara XT'!E76&lt;&gt;0,'Calc.'!Q279,0)</f>
        <v>0</v>
      </c>
      <c r="U279" s="212">
        <f t="shared" si="32"/>
        <v>0</v>
      </c>
      <c r="V279" s="212">
        <f t="shared" si="33"/>
        <v>0</v>
      </c>
      <c r="W279" s="143">
        <f t="shared" si="34"/>
        <v>0</v>
      </c>
    </row>
    <row r="280" spans="1:23" x14ac:dyDescent="0.3">
      <c r="A280" s="137">
        <v>259.26</v>
      </c>
      <c r="B280" s="137" t="s">
        <v>314</v>
      </c>
      <c r="O280" s="105" t="s">
        <v>84</v>
      </c>
      <c r="P280" s="137">
        <v>0</v>
      </c>
      <c r="Q280" s="137">
        <v>100</v>
      </c>
      <c r="R280" s="180">
        <f>'TW - ASML Scara XT'!F77</f>
        <v>135</v>
      </c>
      <c r="S280" s="195">
        <f>IF('TW - ASML Scara XT'!E77&lt;&gt;0,'Calc.'!P280,0)</f>
        <v>0</v>
      </c>
      <c r="T280" s="195">
        <f>IF('TW - ASML Scara XT'!E77&lt;&gt;0,'Calc.'!Q280,0)</f>
        <v>100</v>
      </c>
      <c r="U280" s="212">
        <f t="shared" si="32"/>
        <v>0</v>
      </c>
      <c r="V280" s="212">
        <f t="shared" si="33"/>
        <v>135</v>
      </c>
      <c r="W280" s="143">
        <f t="shared" si="34"/>
        <v>135</v>
      </c>
    </row>
    <row r="281" spans="1:23" x14ac:dyDescent="0.3">
      <c r="A281" s="137">
        <v>100</v>
      </c>
      <c r="B281" s="137" t="s">
        <v>315</v>
      </c>
      <c r="O281" s="214" t="s">
        <v>316</v>
      </c>
      <c r="P281" s="137">
        <v>100</v>
      </c>
      <c r="Q281" s="137">
        <v>0</v>
      </c>
      <c r="R281" s="180">
        <f>'TW - ASML Scara XT'!F78</f>
        <v>0</v>
      </c>
      <c r="S281" s="195">
        <f>IF('TW - ASML Scara XT'!E78&lt;&gt;0,'Calc.'!P281,0)</f>
        <v>0</v>
      </c>
      <c r="T281" s="195">
        <f>IF('TW - ASML Scara XT'!E78&lt;&gt;0,'Calc.'!Q281,0)</f>
        <v>0</v>
      </c>
      <c r="U281" s="212">
        <f t="shared" ref="U281" si="35">S281*R281/100</f>
        <v>0</v>
      </c>
      <c r="V281" s="212">
        <f t="shared" ref="V281" si="36">T281*R281/100</f>
        <v>0</v>
      </c>
      <c r="W281" s="143">
        <f t="shared" ref="W281" si="37">V281+U281</f>
        <v>0</v>
      </c>
    </row>
    <row r="282" spans="1:23" x14ac:dyDescent="0.3">
      <c r="A282" s="137">
        <f>SUM(A279:A281)</f>
        <v>618.52</v>
      </c>
      <c r="B282" s="137" t="s">
        <v>317</v>
      </c>
      <c r="O282" s="214" t="s">
        <v>316</v>
      </c>
      <c r="P282" s="137">
        <v>50</v>
      </c>
      <c r="Q282" s="137">
        <v>50</v>
      </c>
      <c r="R282" s="180">
        <f>'TW - ASML Scara XT'!F79</f>
        <v>0</v>
      </c>
      <c r="S282" s="195">
        <f>IF('TW - ASML Scara XT'!E79&lt;&gt;0,'Calc.'!P282,0)</f>
        <v>0</v>
      </c>
      <c r="T282" s="195">
        <f>IF('TW - ASML Scara XT'!E79&lt;&gt;0,'Calc.'!Q282,0)</f>
        <v>0</v>
      </c>
      <c r="U282" s="212">
        <f t="shared" si="32"/>
        <v>0</v>
      </c>
      <c r="V282" s="212">
        <f t="shared" si="33"/>
        <v>0</v>
      </c>
      <c r="W282" s="143">
        <f t="shared" si="34"/>
        <v>0</v>
      </c>
    </row>
    <row r="283" spans="1:23" x14ac:dyDescent="0.3">
      <c r="A283" s="179">
        <f>A282/3</f>
        <v>206.17333333333332</v>
      </c>
      <c r="B283" s="169" t="s">
        <v>318</v>
      </c>
    </row>
    <row r="284" spans="1:23" x14ac:dyDescent="0.3">
      <c r="P284" s="264" t="s">
        <v>164</v>
      </c>
      <c r="Q284" s="264" t="s">
        <v>165</v>
      </c>
    </row>
    <row r="285" spans="1:23" x14ac:dyDescent="0.3">
      <c r="P285" s="264"/>
      <c r="Q285" s="264"/>
    </row>
    <row r="290" spans="18:23" x14ac:dyDescent="0.3">
      <c r="R290" s="137">
        <f>S290+T290</f>
        <v>500</v>
      </c>
      <c r="S290" s="235">
        <f>SUM(S2:S282)</f>
        <v>83</v>
      </c>
      <c r="T290" s="235">
        <f>SUM(T2:T282)</f>
        <v>417</v>
      </c>
      <c r="U290" s="236">
        <f>SUM(U2:U282)</f>
        <v>618.28938305431348</v>
      </c>
      <c r="V290" s="236">
        <f>SUM(V2:V282)</f>
        <v>3158.0420807466362</v>
      </c>
      <c r="W290" s="143">
        <f>V290+U290</f>
        <v>3776.3314638009497</v>
      </c>
    </row>
    <row r="291" spans="18:23" ht="15" thickBot="1" x14ac:dyDescent="0.35">
      <c r="S291" s="270" t="s">
        <v>166</v>
      </c>
      <c r="T291" s="270" t="s">
        <v>167</v>
      </c>
      <c r="U291" s="215" t="s">
        <v>166</v>
      </c>
      <c r="V291" s="215" t="s">
        <v>167</v>
      </c>
    </row>
    <row r="292" spans="18:23" ht="15" thickBot="1" x14ac:dyDescent="0.35">
      <c r="U292" s="237">
        <f>100/'TW - ASML Scara XT'!F81*'Calc.'!U290</f>
        <v>16.372751941430305</v>
      </c>
      <c r="V292" s="238">
        <f>100/'TW - ASML Scara XT'!F81*'Calc.'!V290</f>
        <v>83.627248058569691</v>
      </c>
    </row>
  </sheetData>
  <sheetProtection password="EB2C" sheet="1" objects="1" scenarios="1"/>
  <mergeCells count="35">
    <mergeCell ref="A102:E102"/>
    <mergeCell ref="A3:E3"/>
    <mergeCell ref="A11:E11"/>
    <mergeCell ref="A25:E25"/>
    <mergeCell ref="A35:E35"/>
    <mergeCell ref="A45:E45"/>
    <mergeCell ref="A52:E52"/>
    <mergeCell ref="A58:E58"/>
    <mergeCell ref="A64:E64"/>
    <mergeCell ref="A73:E73"/>
    <mergeCell ref="A81:E81"/>
    <mergeCell ref="A92:E92"/>
    <mergeCell ref="A190:E190"/>
    <mergeCell ref="A111:E111"/>
    <mergeCell ref="A123:E123"/>
    <mergeCell ref="A134:E134"/>
    <mergeCell ref="A142:E142"/>
    <mergeCell ref="A148:E148"/>
    <mergeCell ref="A154:E154"/>
    <mergeCell ref="A160:E160"/>
    <mergeCell ref="A166:E166"/>
    <mergeCell ref="A172:E172"/>
    <mergeCell ref="A178:E178"/>
    <mergeCell ref="A184:E184"/>
    <mergeCell ref="A264:E264"/>
    <mergeCell ref="A236:E236"/>
    <mergeCell ref="A242:E242"/>
    <mergeCell ref="A248:E248"/>
    <mergeCell ref="A196:E196"/>
    <mergeCell ref="A202:E202"/>
    <mergeCell ref="A208:E208"/>
    <mergeCell ref="A215:E215"/>
    <mergeCell ref="A223:E223"/>
    <mergeCell ref="A229:E229"/>
    <mergeCell ref="A257:E257"/>
  </mergeCells>
  <phoneticPr fontId="24" type="noConversion"/>
  <pageMargins left="0.7" right="0.7" top="0.78740157499999996" bottom="0.78740157499999996" header="0.3" footer="0.3"/>
  <pageSetup paperSize="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9"/>
    <pageSetUpPr fitToPage="1"/>
  </sheetPr>
  <dimension ref="A1:AF114"/>
  <sheetViews>
    <sheetView view="pageBreakPreview" zoomScaleNormal="90" zoomScaleSheetLayoutView="100" workbookViewId="0">
      <selection activeCell="J10" sqref="J10"/>
    </sheetView>
  </sheetViews>
  <sheetFormatPr defaultColWidth="9.109375" defaultRowHeight="13.2" outlineLevelRow="1" outlineLevelCol="1" x14ac:dyDescent="0.25"/>
  <cols>
    <col min="1" max="1" width="5.44140625" customWidth="1"/>
    <col min="2" max="2" width="35.88671875" customWidth="1"/>
    <col min="3" max="3" width="11.5546875" customWidth="1"/>
    <col min="4" max="4" width="11.44140625" hidden="1" customWidth="1" outlineLevel="1"/>
    <col min="5" max="5" width="9" style="1" customWidth="1" collapsed="1"/>
    <col min="6" max="6" width="9" style="1" customWidth="1"/>
    <col min="7" max="7" width="24.5546875" style="1" customWidth="1"/>
    <col min="8" max="8" width="4.33203125" style="1" customWidth="1"/>
    <col min="9" max="9" width="4.109375" style="1" customWidth="1"/>
    <col min="10" max="10" width="9.109375" style="1" customWidth="1"/>
    <col min="11" max="12" width="3.88671875" style="1" customWidth="1"/>
    <col min="13" max="13" width="9.6640625" style="1" customWidth="1"/>
    <col min="14" max="14" width="18" style="1" customWidth="1"/>
    <col min="15" max="15" width="20.6640625" style="1" customWidth="1"/>
    <col min="16" max="16" width="32.6640625" style="1" customWidth="1"/>
    <col min="17" max="17" width="21.6640625" style="1" customWidth="1"/>
    <col min="18" max="18" width="22.44140625" style="1" customWidth="1"/>
    <col min="19" max="19" width="14.44140625" style="1" customWidth="1"/>
    <col min="20" max="20" width="9.33203125" style="1" customWidth="1"/>
    <col min="21" max="21" width="22.6640625" customWidth="1"/>
    <col min="22" max="22" width="11.5546875" style="16" customWidth="1"/>
    <col min="23" max="23" width="24.109375" customWidth="1"/>
    <col min="24" max="24" width="13.44140625" customWidth="1"/>
    <col min="25" max="25" width="20.5546875" bestFit="1" customWidth="1"/>
    <col min="26" max="26" width="14.88671875" bestFit="1" customWidth="1"/>
    <col min="28" max="28" width="23.5546875" bestFit="1" customWidth="1"/>
    <col min="29" max="29" width="16.109375" customWidth="1"/>
  </cols>
  <sheetData>
    <row r="1" spans="1:32" ht="3.75" customHeight="1" thickBot="1" x14ac:dyDescent="0.3">
      <c r="A1" s="36"/>
      <c r="B1" s="36"/>
      <c r="C1" s="36"/>
      <c r="D1" s="36"/>
      <c r="E1" s="34"/>
      <c r="F1" s="34"/>
      <c r="G1" s="34"/>
      <c r="H1" s="34"/>
      <c r="I1" s="34"/>
      <c r="J1" s="255"/>
      <c r="K1" s="260" t="s">
        <v>0</v>
      </c>
      <c r="L1" s="37"/>
      <c r="M1" s="14"/>
      <c r="N1" s="14"/>
      <c r="O1" s="14"/>
      <c r="V1" s="4"/>
    </row>
    <row r="2" spans="1:32" ht="18" thickBot="1" x14ac:dyDescent="0.3">
      <c r="A2" s="36"/>
      <c r="B2" s="287" t="s">
        <v>1</v>
      </c>
      <c r="C2" s="287"/>
      <c r="D2" s="287"/>
      <c r="E2" s="287"/>
      <c r="F2" s="287"/>
      <c r="G2" s="287"/>
      <c r="H2" s="38"/>
      <c r="I2" s="34"/>
      <c r="J2" s="255"/>
      <c r="K2" s="260"/>
      <c r="L2" s="111"/>
      <c r="M2" s="251"/>
      <c r="N2" s="251"/>
      <c r="O2" s="251"/>
      <c r="V2" s="5"/>
    </row>
    <row r="3" spans="1:32" ht="5.25" customHeight="1" x14ac:dyDescent="0.25">
      <c r="A3" s="36"/>
      <c r="B3" s="36"/>
      <c r="C3" s="36"/>
      <c r="D3" s="36"/>
      <c r="E3" s="34"/>
      <c r="F3" s="34"/>
      <c r="G3" s="34"/>
      <c r="H3" s="34"/>
      <c r="I3" s="34"/>
      <c r="J3" s="34"/>
      <c r="K3" s="34"/>
      <c r="L3" s="34"/>
      <c r="V3" s="6"/>
    </row>
    <row r="4" spans="1:32" x14ac:dyDescent="0.25">
      <c r="A4" s="36"/>
      <c r="B4" s="39" t="s">
        <v>319</v>
      </c>
      <c r="C4" s="288" t="str">
        <f>'TW - ASML Scara XT'!C4:E4</f>
        <v>4022.666.94861</v>
      </c>
      <c r="D4" s="288"/>
      <c r="E4" s="288"/>
      <c r="F4" s="34"/>
      <c r="G4" s="107" t="str">
        <f>'TW - ASML Scara XT'!F4</f>
        <v>upgrade to: --</v>
      </c>
      <c r="H4" s="40"/>
      <c r="I4" s="34"/>
      <c r="J4" s="34"/>
      <c r="K4" s="34"/>
      <c r="L4" s="41"/>
    </row>
    <row r="5" spans="1:32" x14ac:dyDescent="0.25">
      <c r="A5" s="36"/>
      <c r="B5" s="39" t="s">
        <v>320</v>
      </c>
      <c r="C5" s="288">
        <f>'TW - ASML Scara XT'!C5:E5</f>
        <v>0</v>
      </c>
      <c r="D5" s="288"/>
      <c r="E5" s="288"/>
      <c r="F5" s="259"/>
      <c r="G5" s="107" t="str">
        <f>'TW - ASML Scara XT'!F5</f>
        <v xml:space="preserve">Repair: </v>
      </c>
      <c r="H5" s="42"/>
      <c r="I5" s="34"/>
      <c r="J5" s="34"/>
      <c r="K5" s="34"/>
      <c r="L5" s="41"/>
    </row>
    <row r="6" spans="1:32" ht="12.75" customHeight="1" x14ac:dyDescent="0.25">
      <c r="A6" s="36"/>
      <c r="B6" s="39"/>
      <c r="D6" s="108"/>
      <c r="E6" s="109"/>
      <c r="F6" s="109"/>
      <c r="G6" s="39" t="str">
        <f>'TW - ASML Scara XT'!F6</f>
        <v xml:space="preserve">First delivery: </v>
      </c>
      <c r="H6" s="34"/>
      <c r="I6" s="34"/>
      <c r="J6" s="34"/>
      <c r="K6" s="34"/>
      <c r="L6" s="41"/>
    </row>
    <row r="7" spans="1:32" ht="13.5" customHeight="1" x14ac:dyDescent="0.25">
      <c r="A7" s="36"/>
      <c r="B7" s="111" t="str">
        <f>'TW - ASML Scara XT'!B7</f>
        <v xml:space="preserve">First delivery: </v>
      </c>
      <c r="C7" s="110" t="s">
        <v>12</v>
      </c>
      <c r="D7" s="36"/>
      <c r="E7" s="34">
        <f>'TW - ASML Scara XT'!E7</f>
        <v>0</v>
      </c>
      <c r="F7" s="34"/>
      <c r="G7" s="34"/>
      <c r="H7" s="34"/>
      <c r="I7" s="34"/>
      <c r="J7" s="34"/>
      <c r="K7" s="34"/>
      <c r="L7" s="34"/>
    </row>
    <row r="8" spans="1:32" s="100" customFormat="1" ht="13.5" customHeight="1" x14ac:dyDescent="0.25">
      <c r="A8" s="98"/>
      <c r="B8" s="111" t="str">
        <f>'TW - ASML Scara XT'!B8</f>
        <v xml:space="preserve">First delivery: </v>
      </c>
      <c r="C8" s="98" t="s">
        <v>13</v>
      </c>
      <c r="D8" s="98"/>
      <c r="E8" s="99">
        <f>'TW - ASML Scara XT'!E8</f>
        <v>0</v>
      </c>
      <c r="F8" s="99"/>
      <c r="G8" s="127"/>
      <c r="H8" s="99"/>
      <c r="I8" s="99"/>
      <c r="J8" s="99"/>
      <c r="K8" s="99"/>
      <c r="L8" s="99"/>
    </row>
    <row r="9" spans="1:32" s="100" customFormat="1" ht="13.5" customHeight="1" thickBot="1" x14ac:dyDescent="0.3">
      <c r="A9" s="98"/>
      <c r="B9" s="111" t="str">
        <f>'TW - ASML Scara XT'!B9</f>
        <v xml:space="preserve">First delivery: </v>
      </c>
      <c r="C9" s="98" t="s">
        <v>14</v>
      </c>
      <c r="D9" s="98"/>
      <c r="E9" s="99">
        <f>'TW - ASML Scara XT'!E9</f>
        <v>0</v>
      </c>
      <c r="F9" s="99"/>
      <c r="G9" s="127" t="s">
        <v>15</v>
      </c>
      <c r="H9" s="99"/>
      <c r="I9" s="99"/>
      <c r="J9" s="99"/>
      <c r="K9" s="99"/>
      <c r="L9" s="99"/>
      <c r="X9" s="98"/>
      <c r="Y9" s="98"/>
      <c r="Z9" s="98"/>
      <c r="AA9" s="98"/>
      <c r="AB9" s="98"/>
    </row>
    <row r="10" spans="1:32" ht="15" customHeight="1" x14ac:dyDescent="0.25">
      <c r="A10" s="36"/>
      <c r="B10" s="43" t="s">
        <v>16</v>
      </c>
      <c r="C10" s="44"/>
      <c r="D10" s="44"/>
      <c r="E10" s="45"/>
      <c r="F10" s="45"/>
      <c r="G10" s="46"/>
      <c r="H10" s="36"/>
      <c r="I10" s="34"/>
      <c r="J10" s="255"/>
      <c r="K10" s="34"/>
      <c r="L10" s="34"/>
      <c r="X10" s="36"/>
      <c r="Y10" s="36"/>
      <c r="Z10" s="36"/>
      <c r="AA10" s="36"/>
      <c r="AB10" s="36"/>
    </row>
    <row r="11" spans="1:32" s="3" customFormat="1" ht="25.5" customHeight="1" thickBot="1" x14ac:dyDescent="0.3">
      <c r="A11" s="36"/>
      <c r="B11" s="47" t="s">
        <v>17</v>
      </c>
      <c r="C11" s="48"/>
      <c r="D11" s="48" t="s">
        <v>18</v>
      </c>
      <c r="E11" s="187" t="s">
        <v>321</v>
      </c>
      <c r="F11" s="187" t="s">
        <v>322</v>
      </c>
      <c r="G11" s="50" t="s">
        <v>20</v>
      </c>
      <c r="H11" s="51"/>
      <c r="I11" s="38"/>
      <c r="J11" s="255"/>
      <c r="K11" s="255"/>
      <c r="L11" s="255"/>
      <c r="AE11"/>
      <c r="AF11"/>
    </row>
    <row r="12" spans="1:32" s="2" customFormat="1" ht="27.6" x14ac:dyDescent="0.25">
      <c r="A12" s="36"/>
      <c r="B12" s="52" t="s">
        <v>21</v>
      </c>
      <c r="C12" s="53"/>
      <c r="D12" s="54"/>
      <c r="E12" s="55"/>
      <c r="F12" s="182"/>
      <c r="G12" s="56"/>
      <c r="H12" s="39"/>
      <c r="I12" s="39"/>
      <c r="J12" s="39"/>
      <c r="K12" s="39"/>
      <c r="L12" s="39"/>
      <c r="O12" s="18"/>
      <c r="P12" s="19" t="s">
        <v>323</v>
      </c>
      <c r="Q12" s="19" t="s">
        <v>324</v>
      </c>
      <c r="R12" s="29"/>
      <c r="AC12" s="101"/>
      <c r="AD12" s="39"/>
      <c r="AE12"/>
      <c r="AF12"/>
    </row>
    <row r="13" spans="1:32" s="2" customFormat="1" ht="13.8" thickBot="1" x14ac:dyDescent="0.3">
      <c r="A13" s="111"/>
      <c r="B13" s="261" t="s">
        <v>22</v>
      </c>
      <c r="C13" s="57"/>
      <c r="D13" s="135">
        <f>'Calc.'!G6</f>
        <v>1331.068</v>
      </c>
      <c r="E13" s="58">
        <f>'TW - ASML Scara XT'!E13</f>
        <v>0</v>
      </c>
      <c r="F13" s="183"/>
      <c r="G13" s="59">
        <f>F13*D13</f>
        <v>0</v>
      </c>
      <c r="H13" s="39"/>
      <c r="I13" s="39"/>
      <c r="J13" s="39"/>
      <c r="K13" s="39"/>
      <c r="L13" s="39"/>
      <c r="O13" s="20" t="s">
        <v>325</v>
      </c>
      <c r="P13" s="17">
        <f>'TW - ASML Scara XT'!F19</f>
        <v>0</v>
      </c>
      <c r="Q13" s="21">
        <f>G19</f>
        <v>0</v>
      </c>
      <c r="R13" s="30">
        <f>P13-Q13</f>
        <v>0</v>
      </c>
      <c r="AC13" s="101"/>
      <c r="AD13" s="39"/>
      <c r="AE13"/>
      <c r="AF13"/>
    </row>
    <row r="14" spans="1:32" s="2" customFormat="1" x14ac:dyDescent="0.25">
      <c r="A14" s="36"/>
      <c r="B14" s="52" t="s">
        <v>23</v>
      </c>
      <c r="C14" s="60"/>
      <c r="D14" s="61"/>
      <c r="E14" s="62"/>
      <c r="F14" s="184"/>
      <c r="G14" s="63"/>
      <c r="H14" s="39"/>
      <c r="I14" s="39"/>
      <c r="J14" s="39"/>
      <c r="K14" s="39"/>
      <c r="L14" s="39"/>
      <c r="O14" s="22" t="s">
        <v>326</v>
      </c>
      <c r="P14" s="17">
        <f>SUM('TW - ASML Scara XT'!F22:F24)</f>
        <v>0</v>
      </c>
      <c r="Q14" s="21">
        <f>G22+G23+G24</f>
        <v>0</v>
      </c>
      <c r="R14" s="30">
        <f>P14-Q14</f>
        <v>0</v>
      </c>
      <c r="AC14" s="102"/>
      <c r="AD14" s="39"/>
      <c r="AE14"/>
      <c r="AF14"/>
    </row>
    <row r="15" spans="1:32" s="2" customFormat="1" x14ac:dyDescent="0.25">
      <c r="A15" s="36"/>
      <c r="B15" s="120" t="s">
        <v>24</v>
      </c>
      <c r="C15" s="57"/>
      <c r="D15" s="135">
        <f>'Calc.'!G15</f>
        <v>6967.2220000000007</v>
      </c>
      <c r="E15" s="58">
        <f>'TW - ASML Scara XT'!E15</f>
        <v>0</v>
      </c>
      <c r="F15" s="183"/>
      <c r="G15" s="59">
        <f>F15*D15</f>
        <v>0</v>
      </c>
      <c r="H15" s="39"/>
      <c r="I15" s="39"/>
      <c r="J15" s="39"/>
      <c r="K15" s="39"/>
      <c r="L15" s="39"/>
      <c r="O15" s="33" t="s">
        <v>327</v>
      </c>
      <c r="P15" s="17">
        <f>SUM('TW - ASML Scara XT'!F25:F29)</f>
        <v>0</v>
      </c>
      <c r="Q15" s="21">
        <f>SUM(G25:G29)</f>
        <v>0</v>
      </c>
      <c r="R15" s="30">
        <f>P15-Q15</f>
        <v>0</v>
      </c>
      <c r="AC15" s="102"/>
      <c r="AD15" s="39"/>
      <c r="AE15"/>
      <c r="AF15"/>
    </row>
    <row r="16" spans="1:32" x14ac:dyDescent="0.25">
      <c r="A16" s="36"/>
      <c r="B16" s="52" t="s">
        <v>25</v>
      </c>
      <c r="C16" s="60"/>
      <c r="D16" s="61"/>
      <c r="E16" s="62"/>
      <c r="F16" s="184"/>
      <c r="G16" s="63"/>
      <c r="H16" s="36"/>
      <c r="I16" s="34"/>
      <c r="J16" s="34"/>
      <c r="K16" s="34"/>
      <c r="L16" s="34"/>
      <c r="O16" s="23" t="s">
        <v>328</v>
      </c>
      <c r="P16" s="17">
        <f>'TW - ASML Scara XT'!F64</f>
        <v>0</v>
      </c>
      <c r="Q16" s="21">
        <f>G64</f>
        <v>0</v>
      </c>
      <c r="R16" s="30">
        <f>P16-Q16</f>
        <v>0</v>
      </c>
      <c r="AC16" s="101"/>
      <c r="AD16" s="36"/>
    </row>
    <row r="17" spans="1:32" x14ac:dyDescent="0.25">
      <c r="A17" s="111"/>
      <c r="B17" s="64" t="s">
        <v>26</v>
      </c>
      <c r="C17" s="57"/>
      <c r="D17" s="135">
        <f>'Calc.'!G29</f>
        <v>1996.7599999999998</v>
      </c>
      <c r="E17" s="58">
        <f>'TW - ASML Scara XT'!E17</f>
        <v>0</v>
      </c>
      <c r="F17" s="183"/>
      <c r="G17" s="59">
        <f t="shared" ref="G17:G18" si="0">F17*D17</f>
        <v>0</v>
      </c>
      <c r="H17" s="36"/>
      <c r="I17" s="34"/>
      <c r="J17" s="34"/>
      <c r="K17" s="34"/>
      <c r="L17" s="34"/>
      <c r="O17" s="24" t="s">
        <v>329</v>
      </c>
      <c r="P17" s="17">
        <f>'TW - ASML Scara XT'!F80</f>
        <v>3776.3314638009497</v>
      </c>
      <c r="Q17" s="21">
        <f>G80</f>
        <v>0</v>
      </c>
      <c r="R17" s="30">
        <f>P17-Q17</f>
        <v>3776.3314638009497</v>
      </c>
      <c r="AC17" s="101"/>
      <c r="AD17" s="36"/>
    </row>
    <row r="18" spans="1:32" x14ac:dyDescent="0.25">
      <c r="A18" s="111"/>
      <c r="B18" s="103" t="s">
        <v>27</v>
      </c>
      <c r="C18" s="57"/>
      <c r="D18" s="135">
        <f>'Calc.'!G40</f>
        <v>2018.4599999999998</v>
      </c>
      <c r="E18" s="58">
        <f>'TW - ASML Scara XT'!E18</f>
        <v>0</v>
      </c>
      <c r="F18" s="183"/>
      <c r="G18" s="59">
        <f t="shared" si="0"/>
        <v>0</v>
      </c>
      <c r="H18" s="36"/>
      <c r="I18" s="34"/>
      <c r="J18" s="34"/>
      <c r="K18" s="34"/>
      <c r="L18" s="34"/>
      <c r="O18" s="25"/>
      <c r="P18" s="17"/>
      <c r="Q18" s="21"/>
      <c r="R18" s="31"/>
      <c r="AC18" s="101"/>
      <c r="AD18" s="36"/>
    </row>
    <row r="19" spans="1:32" ht="13.8" thickBot="1" x14ac:dyDescent="0.3">
      <c r="A19" s="111"/>
      <c r="B19" s="65"/>
      <c r="C19" s="66"/>
      <c r="D19" s="67"/>
      <c r="E19" s="68"/>
      <c r="F19" s="185"/>
      <c r="G19" s="69">
        <f>SUM(G13:G18)</f>
        <v>0</v>
      </c>
      <c r="H19" s="36"/>
      <c r="I19" s="34"/>
      <c r="J19" s="34"/>
      <c r="K19" s="34"/>
      <c r="L19" s="34"/>
      <c r="O19" s="26" t="s">
        <v>330</v>
      </c>
      <c r="P19" s="27">
        <f>SUM(P13:P17)</f>
        <v>3776.3314638009497</v>
      </c>
      <c r="Q19" s="28">
        <f>SUM(Q13:Q17)</f>
        <v>0</v>
      </c>
      <c r="R19" s="32">
        <f>P19-Q19</f>
        <v>3776.3314638009497</v>
      </c>
      <c r="AC19" s="101"/>
      <c r="AD19" s="36"/>
    </row>
    <row r="20" spans="1:32" ht="13.8" x14ac:dyDescent="0.25">
      <c r="A20" s="111"/>
      <c r="B20" s="43" t="s">
        <v>28</v>
      </c>
      <c r="C20" s="44"/>
      <c r="D20" s="70"/>
      <c r="E20" s="45"/>
      <c r="F20" s="45"/>
      <c r="G20" s="46"/>
      <c r="H20" s="36"/>
      <c r="I20" s="34"/>
      <c r="J20" s="34"/>
      <c r="K20" s="34"/>
      <c r="L20" s="34"/>
      <c r="O20"/>
      <c r="AC20" s="101"/>
      <c r="AD20" s="36"/>
    </row>
    <row r="21" spans="1:32" s="2" customFormat="1" ht="13.8" thickBot="1" x14ac:dyDescent="0.3">
      <c r="A21" s="111"/>
      <c r="B21" s="248" t="s">
        <v>29</v>
      </c>
      <c r="C21" s="72" t="s">
        <v>30</v>
      </c>
      <c r="D21" s="73" t="s">
        <v>18</v>
      </c>
      <c r="E21" s="74"/>
      <c r="F21" s="74"/>
      <c r="G21" s="75" t="s">
        <v>20</v>
      </c>
      <c r="H21" s="39"/>
      <c r="I21" s="39"/>
      <c r="J21" s="39"/>
      <c r="K21" s="39"/>
      <c r="L21" s="39"/>
      <c r="O21"/>
      <c r="AC21" s="101"/>
      <c r="AD21" s="39"/>
      <c r="AE21"/>
      <c r="AF21"/>
    </row>
    <row r="22" spans="1:32" x14ac:dyDescent="0.25">
      <c r="A22" s="36"/>
      <c r="B22" s="249" t="s">
        <v>31</v>
      </c>
      <c r="C22" s="188"/>
      <c r="D22" s="77">
        <f>'Calc.'!G49</f>
        <v>801.16</v>
      </c>
      <c r="E22" s="58">
        <f>'TW - ASML Scara XT'!E22</f>
        <v>0</v>
      </c>
      <c r="F22" s="183"/>
      <c r="G22" s="59">
        <f t="shared" ref="G22:G29" si="1">F22*D22</f>
        <v>0</v>
      </c>
      <c r="H22" s="78"/>
      <c r="I22" s="34"/>
      <c r="J22" s="34"/>
      <c r="K22" s="34"/>
      <c r="L22" s="39"/>
      <c r="O22"/>
      <c r="AC22" s="101"/>
      <c r="AD22" s="36"/>
    </row>
    <row r="23" spans="1:32" x14ac:dyDescent="0.25">
      <c r="A23" s="36"/>
      <c r="B23" s="250" t="s">
        <v>298</v>
      </c>
      <c r="C23" s="188"/>
      <c r="D23" s="77">
        <f>'Calc.'!G267</f>
        <v>121.92999999999999</v>
      </c>
      <c r="E23" s="58">
        <f>'TW - ASML Scara XT'!E23</f>
        <v>0</v>
      </c>
      <c r="F23" s="183"/>
      <c r="G23" s="59">
        <f t="shared" si="1"/>
        <v>0</v>
      </c>
      <c r="H23" s="78"/>
      <c r="I23" s="34"/>
      <c r="J23" s="34"/>
      <c r="K23" s="34"/>
      <c r="L23" s="39"/>
      <c r="O23"/>
      <c r="AC23" s="101"/>
      <c r="AD23" s="36"/>
    </row>
    <row r="24" spans="1:32" ht="12.75" hidden="1" customHeight="1" outlineLevel="1" x14ac:dyDescent="0.25">
      <c r="A24" s="36"/>
      <c r="B24" s="105"/>
      <c r="C24" s="76"/>
      <c r="D24" s="77"/>
      <c r="E24" s="58"/>
      <c r="F24" s="183"/>
      <c r="G24" s="59">
        <f t="shared" si="1"/>
        <v>0</v>
      </c>
      <c r="H24" s="78"/>
      <c r="I24" s="34"/>
      <c r="J24" s="34"/>
      <c r="K24" s="34"/>
      <c r="L24" s="39"/>
      <c r="O24"/>
      <c r="AC24" s="101"/>
      <c r="AD24" s="36"/>
    </row>
    <row r="25" spans="1:32" collapsed="1" x14ac:dyDescent="0.25">
      <c r="A25" s="36"/>
      <c r="B25" s="33" t="s">
        <v>33</v>
      </c>
      <c r="C25" s="76"/>
      <c r="D25" s="77">
        <f>'Calc.'!G55</f>
        <v>7254.232</v>
      </c>
      <c r="E25" s="58">
        <f>'TW - ASML Scara XT'!E25</f>
        <v>0</v>
      </c>
      <c r="F25" s="183"/>
      <c r="G25" s="59">
        <f t="shared" si="1"/>
        <v>0</v>
      </c>
      <c r="H25" s="39"/>
      <c r="I25" s="34"/>
      <c r="J25" s="34"/>
      <c r="K25" s="34"/>
      <c r="L25" s="39"/>
      <c r="O25"/>
      <c r="AC25" s="101"/>
      <c r="AD25" s="36"/>
    </row>
    <row r="26" spans="1:32" x14ac:dyDescent="0.25">
      <c r="A26" s="36"/>
      <c r="B26" s="33" t="s">
        <v>34</v>
      </c>
      <c r="C26" s="76"/>
      <c r="D26" s="77">
        <f>'Calc.'!G61</f>
        <v>189.86</v>
      </c>
      <c r="E26" s="58">
        <f>'TW - ASML Scara XT'!E26</f>
        <v>0</v>
      </c>
      <c r="F26" s="183"/>
      <c r="G26" s="59">
        <f t="shared" si="1"/>
        <v>0</v>
      </c>
      <c r="H26" s="39"/>
      <c r="I26" s="34"/>
      <c r="J26" s="34"/>
      <c r="K26" s="34"/>
      <c r="L26" s="39"/>
      <c r="O26"/>
      <c r="AC26" s="101"/>
      <c r="AD26" s="36"/>
    </row>
    <row r="27" spans="1:32" x14ac:dyDescent="0.25">
      <c r="A27" s="36"/>
      <c r="B27" s="33" t="s">
        <v>35</v>
      </c>
      <c r="C27" s="76"/>
      <c r="D27" s="77">
        <f>'Calc.'!G67</f>
        <v>255.12999999999997</v>
      </c>
      <c r="E27" s="58">
        <f>'TW - ASML Scara XT'!E27</f>
        <v>0</v>
      </c>
      <c r="F27" s="183"/>
      <c r="G27" s="59">
        <f t="shared" si="1"/>
        <v>0</v>
      </c>
      <c r="H27" s="39"/>
      <c r="I27" s="34"/>
      <c r="J27" s="34"/>
      <c r="K27" s="34"/>
      <c r="L27" s="39"/>
      <c r="O27"/>
      <c r="AC27" s="101"/>
      <c r="AD27" s="36"/>
    </row>
    <row r="28" spans="1:32" x14ac:dyDescent="0.25">
      <c r="A28" s="36"/>
      <c r="B28" s="33"/>
      <c r="C28" s="76"/>
      <c r="D28" s="77"/>
      <c r="E28" s="58">
        <f>'TW - ASML Scara XT'!E28</f>
        <v>0</v>
      </c>
      <c r="F28" s="183"/>
      <c r="G28" s="59">
        <f t="shared" si="1"/>
        <v>0</v>
      </c>
      <c r="H28" s="39"/>
      <c r="I28" s="34"/>
      <c r="J28" s="34"/>
      <c r="K28" s="34"/>
      <c r="L28" s="39"/>
      <c r="O28" s="198"/>
      <c r="AC28" s="101"/>
      <c r="AD28" s="36"/>
    </row>
    <row r="29" spans="1:32" x14ac:dyDescent="0.25">
      <c r="A29" s="36"/>
      <c r="B29" s="33" t="s">
        <v>36</v>
      </c>
      <c r="C29" s="76"/>
      <c r="D29" s="77">
        <f>'Calc.'!G77</f>
        <v>861.4842799999999</v>
      </c>
      <c r="E29" s="58">
        <f>'TW - ASML Scara XT'!E29</f>
        <v>0</v>
      </c>
      <c r="F29" s="183"/>
      <c r="G29" s="59">
        <f t="shared" si="1"/>
        <v>0</v>
      </c>
      <c r="H29" s="39"/>
      <c r="I29" s="80"/>
      <c r="J29" s="34"/>
      <c r="K29" s="34"/>
      <c r="L29" s="39"/>
      <c r="O29" s="198"/>
      <c r="AC29" s="101"/>
      <c r="AD29" s="36"/>
    </row>
    <row r="30" spans="1:32" ht="13.8" thickBot="1" x14ac:dyDescent="0.3">
      <c r="A30" s="36"/>
      <c r="B30" s="66"/>
      <c r="C30" s="66"/>
      <c r="D30" s="67"/>
      <c r="E30" s="81"/>
      <c r="F30" s="81"/>
      <c r="G30" s="82">
        <f>SUM(G22:G29)</f>
        <v>0</v>
      </c>
      <c r="H30" s="39"/>
      <c r="I30" s="80"/>
      <c r="J30" s="34"/>
      <c r="K30" s="34"/>
      <c r="L30" s="39"/>
      <c r="O30" s="198"/>
      <c r="AC30" s="101"/>
      <c r="AD30" s="36"/>
    </row>
    <row r="31" spans="1:32" ht="13.8" thickBot="1" x14ac:dyDescent="0.3">
      <c r="A31" s="36"/>
      <c r="B31" s="83"/>
      <c r="C31" s="76"/>
      <c r="D31" s="77"/>
      <c r="E31" s="34"/>
      <c r="F31" s="34"/>
      <c r="G31" s="84"/>
      <c r="H31" s="255"/>
      <c r="I31" s="260"/>
      <c r="J31" s="34"/>
      <c r="K31" s="34"/>
      <c r="L31" s="39"/>
      <c r="O31" s="211"/>
      <c r="AC31" s="101"/>
      <c r="AD31" s="36"/>
    </row>
    <row r="32" spans="1:32" ht="14.4" thickBot="1" x14ac:dyDescent="0.3">
      <c r="A32" s="36"/>
      <c r="B32" s="43" t="s">
        <v>37</v>
      </c>
      <c r="C32" s="44"/>
      <c r="D32" s="70"/>
      <c r="E32" s="45"/>
      <c r="F32" s="45"/>
      <c r="G32" s="46"/>
      <c r="H32" s="255"/>
      <c r="I32" s="34"/>
      <c r="J32" s="34"/>
      <c r="K32" s="34"/>
      <c r="L32" s="34"/>
      <c r="O32"/>
      <c r="AC32" s="101"/>
      <c r="AD32" s="36"/>
    </row>
    <row r="33" spans="1:32" s="2" customFormat="1" ht="13.8" thickBot="1" x14ac:dyDescent="0.3">
      <c r="A33" s="39"/>
      <c r="B33" s="71" t="s">
        <v>17</v>
      </c>
      <c r="C33" s="72"/>
      <c r="D33" s="73" t="s">
        <v>18</v>
      </c>
      <c r="E33" s="74"/>
      <c r="F33" s="74"/>
      <c r="G33" s="75" t="s">
        <v>20</v>
      </c>
      <c r="H33" s="39"/>
      <c r="I33" s="39"/>
      <c r="J33" s="39"/>
      <c r="K33" s="39"/>
      <c r="L33" s="39"/>
      <c r="N33" s="289" t="s">
        <v>323</v>
      </c>
      <c r="O33" s="290"/>
      <c r="P33" s="290"/>
      <c r="Q33" s="290"/>
      <c r="R33" s="203"/>
      <c r="S33" s="289" t="s">
        <v>324</v>
      </c>
      <c r="T33" s="290"/>
      <c r="U33" s="290"/>
      <c r="V33" s="290"/>
      <c r="W33" s="203"/>
      <c r="AC33" s="101"/>
      <c r="AD33" s="39"/>
      <c r="AE33"/>
      <c r="AF33"/>
    </row>
    <row r="34" spans="1:32" s="2" customFormat="1" ht="13.8" thickBot="1" x14ac:dyDescent="0.3">
      <c r="A34" s="39"/>
      <c r="B34" s="190" t="s">
        <v>38</v>
      </c>
      <c r="C34" s="189"/>
      <c r="D34" s="61"/>
      <c r="E34" s="62"/>
      <c r="F34" s="184"/>
      <c r="G34" s="63"/>
      <c r="H34" s="39"/>
      <c r="I34" s="39"/>
      <c r="J34" s="39"/>
      <c r="K34" s="39"/>
      <c r="L34" s="39"/>
      <c r="N34" s="200" t="s">
        <v>325</v>
      </c>
      <c r="O34" s="201" t="s">
        <v>326</v>
      </c>
      <c r="P34" s="202" t="s">
        <v>328</v>
      </c>
      <c r="Q34" s="204" t="s">
        <v>329</v>
      </c>
      <c r="R34" s="205" t="s">
        <v>327</v>
      </c>
      <c r="S34" s="200" t="s">
        <v>325</v>
      </c>
      <c r="T34" s="201" t="s">
        <v>326</v>
      </c>
      <c r="U34" s="202" t="s">
        <v>328</v>
      </c>
      <c r="V34" s="204" t="s">
        <v>329</v>
      </c>
      <c r="W34" s="205" t="s">
        <v>327</v>
      </c>
      <c r="AC34" s="101"/>
      <c r="AD34" s="39"/>
      <c r="AE34"/>
      <c r="AF34"/>
    </row>
    <row r="35" spans="1:32" x14ac:dyDescent="0.25">
      <c r="A35" s="111"/>
      <c r="B35" s="191" t="s">
        <v>39</v>
      </c>
      <c r="C35" s="188"/>
      <c r="D35" s="136">
        <f>'Calc.'!G85</f>
        <v>1157.0079999999998</v>
      </c>
      <c r="E35" s="79">
        <f>'TW - ASML Scara XT'!E35</f>
        <v>0</v>
      </c>
      <c r="F35" s="34"/>
      <c r="G35" s="59">
        <f t="shared" ref="G35:G46" si="2">F35*D35</f>
        <v>0</v>
      </c>
      <c r="H35" s="78"/>
      <c r="I35" s="34"/>
      <c r="J35" s="34"/>
      <c r="K35" s="34"/>
      <c r="L35" s="34"/>
      <c r="N35" s="206"/>
      <c r="O35" s="207"/>
      <c r="P35" s="208"/>
      <c r="Q35" s="209"/>
      <c r="R35" s="210"/>
      <c r="S35" s="206"/>
      <c r="T35" s="207"/>
      <c r="U35" s="208"/>
      <c r="V35" s="209"/>
      <c r="W35" s="210"/>
      <c r="AC35" s="101"/>
      <c r="AD35" s="36"/>
    </row>
    <row r="36" spans="1:32" x14ac:dyDescent="0.25">
      <c r="A36" s="111"/>
      <c r="B36" s="191" t="s">
        <v>331</v>
      </c>
      <c r="C36" s="188"/>
      <c r="D36" s="136">
        <f>'Calc.'!G96</f>
        <v>898.75</v>
      </c>
      <c r="E36" s="79">
        <f>'TW - ASML Scara XT'!E36</f>
        <v>0</v>
      </c>
      <c r="F36" s="34"/>
      <c r="G36" s="59">
        <f t="shared" si="2"/>
        <v>0</v>
      </c>
      <c r="H36" s="78"/>
      <c r="I36" s="34"/>
      <c r="J36" s="34"/>
      <c r="K36" s="34"/>
      <c r="L36" s="34"/>
      <c r="N36" s="199">
        <f>P13</f>
        <v>0</v>
      </c>
      <c r="O36" s="199">
        <f>P14</f>
        <v>0</v>
      </c>
      <c r="P36" s="199">
        <f>P16</f>
        <v>0</v>
      </c>
      <c r="Q36" s="199">
        <f>P17</f>
        <v>3776.3314638009497</v>
      </c>
      <c r="R36" s="199">
        <f>P15</f>
        <v>0</v>
      </c>
      <c r="S36" s="199">
        <f>Q13</f>
        <v>0</v>
      </c>
      <c r="T36" s="199">
        <f>Q14</f>
        <v>0</v>
      </c>
      <c r="U36" s="199">
        <f>Q16</f>
        <v>0</v>
      </c>
      <c r="V36" s="199">
        <f>Q17</f>
        <v>0</v>
      </c>
      <c r="W36" s="199">
        <f>Q15</f>
        <v>0</v>
      </c>
      <c r="AC36" s="101"/>
      <c r="AD36" s="36"/>
    </row>
    <row r="37" spans="1:32" x14ac:dyDescent="0.25">
      <c r="A37" s="111"/>
      <c r="B37" s="192" t="s">
        <v>41</v>
      </c>
      <c r="C37" s="188"/>
      <c r="D37" s="136">
        <f>'Calc.'!G105</f>
        <v>892.67</v>
      </c>
      <c r="E37" s="79">
        <f>'TW - ASML Scara XT'!E37</f>
        <v>0</v>
      </c>
      <c r="F37" s="34"/>
      <c r="G37" s="59">
        <f t="shared" si="2"/>
        <v>0</v>
      </c>
      <c r="H37" s="78"/>
      <c r="I37" s="34"/>
      <c r="J37" s="34"/>
      <c r="K37" s="34"/>
      <c r="L37" s="34"/>
      <c r="O37"/>
      <c r="AC37" s="101"/>
      <c r="AD37" s="36"/>
    </row>
    <row r="38" spans="1:32" x14ac:dyDescent="0.25">
      <c r="A38" s="111"/>
      <c r="B38" s="193" t="s">
        <v>42</v>
      </c>
      <c r="C38" s="188"/>
      <c r="D38" s="136">
        <f>'Calc.'!G115</f>
        <v>1122.3439999999998</v>
      </c>
      <c r="E38" s="79">
        <f>'TW - ASML Scara XT'!E38</f>
        <v>0</v>
      </c>
      <c r="F38" s="34"/>
      <c r="G38" s="59">
        <f t="shared" si="2"/>
        <v>0</v>
      </c>
      <c r="H38" s="78"/>
      <c r="I38" s="34"/>
      <c r="J38" s="34"/>
      <c r="K38" s="34"/>
      <c r="L38" s="34"/>
      <c r="O38"/>
      <c r="AC38" s="101"/>
      <c r="AD38" s="36"/>
    </row>
    <row r="39" spans="1:32" x14ac:dyDescent="0.25">
      <c r="A39" s="111"/>
      <c r="B39" s="191" t="s">
        <v>332</v>
      </c>
      <c r="C39" s="188"/>
      <c r="D39" s="136">
        <f>'Calc.'!G127</f>
        <v>800.07799999999986</v>
      </c>
      <c r="E39" s="79">
        <f>'TW - ASML Scara XT'!E39</f>
        <v>0</v>
      </c>
      <c r="F39" s="34"/>
      <c r="G39" s="59">
        <f t="shared" si="2"/>
        <v>0</v>
      </c>
      <c r="H39" s="78"/>
      <c r="I39" s="34"/>
      <c r="J39" s="34"/>
      <c r="K39" s="34"/>
      <c r="L39" s="34"/>
      <c r="O39"/>
      <c r="AC39" s="101"/>
      <c r="AD39" s="36"/>
    </row>
    <row r="40" spans="1:32" x14ac:dyDescent="0.25">
      <c r="A40" s="111"/>
      <c r="B40" s="191" t="s">
        <v>44</v>
      </c>
      <c r="C40" s="188"/>
      <c r="D40" s="136">
        <f>'Calc.'!G137</f>
        <v>563.86908799999992</v>
      </c>
      <c r="E40" s="79">
        <f>'TW - ASML Scara XT'!E40</f>
        <v>0</v>
      </c>
      <c r="F40" s="34"/>
      <c r="G40" s="59">
        <f t="shared" si="2"/>
        <v>0</v>
      </c>
      <c r="H40" s="78"/>
      <c r="I40" s="34"/>
      <c r="J40" s="34"/>
      <c r="K40" s="34"/>
      <c r="L40" s="34"/>
      <c r="O40"/>
      <c r="AC40" s="101"/>
      <c r="AD40" s="36"/>
    </row>
    <row r="41" spans="1:32" x14ac:dyDescent="0.25">
      <c r="A41" s="111"/>
      <c r="B41" s="192" t="s">
        <v>45</v>
      </c>
      <c r="C41" s="188"/>
      <c r="D41" s="136">
        <f>'Calc.'!G145</f>
        <v>906.82799999999997</v>
      </c>
      <c r="E41" s="79">
        <f>'TW - ASML Scara XT'!E41</f>
        <v>0</v>
      </c>
      <c r="F41" s="34"/>
      <c r="G41" s="59">
        <f t="shared" si="2"/>
        <v>0</v>
      </c>
      <c r="H41" s="78"/>
      <c r="I41" s="34"/>
      <c r="J41" s="34"/>
      <c r="K41" s="34"/>
      <c r="L41" s="34"/>
      <c r="O41"/>
      <c r="AC41" s="101"/>
      <c r="AD41" s="36"/>
    </row>
    <row r="42" spans="1:32" x14ac:dyDescent="0.25">
      <c r="A42" s="111"/>
      <c r="B42" s="271" t="s">
        <v>46</v>
      </c>
      <c r="C42" s="188"/>
      <c r="D42" s="136">
        <f>'Calc.'!G151</f>
        <v>321.54599999999994</v>
      </c>
      <c r="E42" s="79">
        <f>'TW - ASML Scara XT'!E42</f>
        <v>0</v>
      </c>
      <c r="F42" s="34"/>
      <c r="G42" s="59">
        <f t="shared" si="2"/>
        <v>0</v>
      </c>
      <c r="H42" s="78"/>
      <c r="I42" s="34"/>
      <c r="J42" s="34"/>
      <c r="K42" s="34"/>
      <c r="L42" s="34"/>
      <c r="O42"/>
      <c r="AC42" s="101"/>
      <c r="AD42" s="36"/>
    </row>
    <row r="43" spans="1:32" x14ac:dyDescent="0.25">
      <c r="A43" s="111"/>
      <c r="B43" s="194" t="s">
        <v>47</v>
      </c>
      <c r="C43" s="188"/>
      <c r="D43" s="136">
        <f>'Calc.'!G157</f>
        <v>279</v>
      </c>
      <c r="E43" s="79">
        <f>'TW - ASML Scara XT'!E43</f>
        <v>0</v>
      </c>
      <c r="F43" s="34"/>
      <c r="G43" s="59">
        <f>F43*D43</f>
        <v>0</v>
      </c>
      <c r="H43" s="78"/>
      <c r="I43" s="34"/>
      <c r="J43" s="34"/>
      <c r="K43" s="34"/>
      <c r="L43" s="34"/>
      <c r="O43"/>
      <c r="AC43" s="101"/>
      <c r="AD43" s="36"/>
    </row>
    <row r="44" spans="1:32" x14ac:dyDescent="0.25">
      <c r="A44" s="111"/>
      <c r="B44" s="191" t="s">
        <v>48</v>
      </c>
      <c r="C44" s="188"/>
      <c r="D44" s="136">
        <f>'Calc.'!G163</f>
        <v>1267.8819999999998</v>
      </c>
      <c r="E44" s="79">
        <f>'TW - ASML Scara XT'!E44</f>
        <v>0</v>
      </c>
      <c r="F44" s="34"/>
      <c r="G44" s="59">
        <f t="shared" si="2"/>
        <v>0</v>
      </c>
      <c r="H44" s="78"/>
      <c r="I44" s="34"/>
      <c r="J44" s="34"/>
      <c r="K44" s="34"/>
      <c r="L44" s="34"/>
      <c r="O44"/>
      <c r="AC44" s="101"/>
      <c r="AD44" s="36"/>
    </row>
    <row r="45" spans="1:32" x14ac:dyDescent="0.25">
      <c r="A45" s="111"/>
      <c r="B45" s="192" t="s">
        <v>49</v>
      </c>
      <c r="C45" s="188"/>
      <c r="D45" s="136">
        <f>'Calc.'!G169</f>
        <v>40.783999999999999</v>
      </c>
      <c r="E45" s="79">
        <f>'TW - ASML Scara XT'!E45</f>
        <v>0</v>
      </c>
      <c r="F45" s="34"/>
      <c r="G45" s="59">
        <f t="shared" si="2"/>
        <v>0</v>
      </c>
      <c r="H45" s="78"/>
      <c r="I45" s="34"/>
      <c r="J45" s="34"/>
      <c r="K45" s="34"/>
      <c r="L45" s="34"/>
      <c r="O45"/>
      <c r="AC45" s="101"/>
      <c r="AD45" s="36"/>
    </row>
    <row r="46" spans="1:32" x14ac:dyDescent="0.25">
      <c r="A46" s="111"/>
      <c r="B46" s="193" t="s">
        <v>50</v>
      </c>
      <c r="C46" s="188"/>
      <c r="D46" s="136">
        <f>'Calc.'!G232</f>
        <v>858.97199999999998</v>
      </c>
      <c r="E46" s="79">
        <f>'TW - ASML Scara XT'!E46</f>
        <v>0</v>
      </c>
      <c r="F46" s="34"/>
      <c r="G46" s="59">
        <f t="shared" si="2"/>
        <v>0</v>
      </c>
      <c r="H46" s="78"/>
      <c r="I46" s="34"/>
      <c r="J46" s="34"/>
      <c r="K46" s="34"/>
      <c r="L46" s="34"/>
      <c r="O46"/>
      <c r="AC46" s="101"/>
      <c r="AD46" s="36"/>
    </row>
    <row r="47" spans="1:32" x14ac:dyDescent="0.25">
      <c r="A47" s="111"/>
      <c r="B47" s="191" t="s">
        <v>51</v>
      </c>
      <c r="C47" s="188"/>
      <c r="D47" s="77"/>
      <c r="E47" s="79">
        <f>'TW - ASML Scara XT'!E47</f>
        <v>0</v>
      </c>
      <c r="F47" s="260"/>
      <c r="G47" s="84"/>
      <c r="H47" s="78"/>
      <c r="I47" s="34"/>
      <c r="J47" s="34"/>
      <c r="K47" s="34"/>
      <c r="L47" s="85"/>
      <c r="O47"/>
      <c r="AC47" s="101"/>
      <c r="AD47" s="36"/>
    </row>
    <row r="48" spans="1:32" s="2" customFormat="1" x14ac:dyDescent="0.25">
      <c r="A48" s="39"/>
      <c r="B48" s="52" t="s">
        <v>52</v>
      </c>
      <c r="C48" s="60"/>
      <c r="D48" s="61"/>
      <c r="E48" s="62"/>
      <c r="F48" s="184"/>
      <c r="G48" s="63"/>
      <c r="H48" s="78"/>
      <c r="I48" s="39"/>
      <c r="J48" s="39"/>
      <c r="K48" s="39"/>
      <c r="L48" s="39"/>
      <c r="O48"/>
      <c r="AC48" s="101"/>
      <c r="AD48" s="39"/>
      <c r="AE48"/>
      <c r="AF48"/>
    </row>
    <row r="49" spans="1:30" x14ac:dyDescent="0.25">
      <c r="A49" s="111"/>
      <c r="B49" s="105" t="s">
        <v>53</v>
      </c>
      <c r="C49" s="76"/>
      <c r="D49" s="136">
        <f>'Calc.'!G175</f>
        <v>465.9</v>
      </c>
      <c r="E49" s="79">
        <f>'TW - ASML Scara XT'!E49</f>
        <v>0</v>
      </c>
      <c r="F49" s="34"/>
      <c r="G49" s="59">
        <f t="shared" ref="G49:G53" si="3">F49*D49</f>
        <v>0</v>
      </c>
      <c r="H49" s="78"/>
      <c r="I49" s="34"/>
      <c r="J49" s="260"/>
      <c r="K49" s="34"/>
      <c r="L49" s="34"/>
      <c r="O49"/>
      <c r="AC49" s="101"/>
      <c r="AD49" s="36"/>
    </row>
    <row r="50" spans="1:30" x14ac:dyDescent="0.25">
      <c r="A50" s="111"/>
      <c r="B50" s="83" t="s">
        <v>54</v>
      </c>
      <c r="C50" s="76"/>
      <c r="D50" s="136">
        <f>'Calc.'!G181</f>
        <v>470.37999999999994</v>
      </c>
      <c r="E50" s="79">
        <f>'TW - ASML Scara XT'!E50</f>
        <v>0</v>
      </c>
      <c r="F50" s="34"/>
      <c r="G50" s="59">
        <f t="shared" si="3"/>
        <v>0</v>
      </c>
      <c r="H50" s="78"/>
      <c r="I50" s="34"/>
      <c r="J50" s="260"/>
      <c r="K50" s="34"/>
      <c r="L50" s="34"/>
      <c r="O50"/>
      <c r="AC50" s="101"/>
      <c r="AD50" s="36"/>
    </row>
    <row r="51" spans="1:30" x14ac:dyDescent="0.25">
      <c r="A51" s="111"/>
      <c r="B51" s="83" t="s">
        <v>55</v>
      </c>
      <c r="C51" s="76"/>
      <c r="D51" s="136">
        <f>'Calc.'!G187</f>
        <v>77.41</v>
      </c>
      <c r="E51" s="79">
        <f>'TW - ASML Scara XT'!E51</f>
        <v>0</v>
      </c>
      <c r="F51" s="34"/>
      <c r="G51" s="59">
        <f t="shared" si="3"/>
        <v>0</v>
      </c>
      <c r="H51" s="78"/>
      <c r="I51" s="34"/>
      <c r="J51" s="260"/>
      <c r="K51" s="34"/>
      <c r="L51" s="34"/>
      <c r="O51"/>
      <c r="AC51" s="101"/>
      <c r="AD51" s="36"/>
    </row>
    <row r="52" spans="1:30" x14ac:dyDescent="0.25">
      <c r="A52" s="111"/>
      <c r="B52" s="105" t="s">
        <v>56</v>
      </c>
      <c r="C52" s="76"/>
      <c r="D52" s="136">
        <f>'Calc.'!G193</f>
        <v>576.9</v>
      </c>
      <c r="E52" s="79">
        <f>'TW - ASML Scara XT'!E52</f>
        <v>0</v>
      </c>
      <c r="F52" s="34"/>
      <c r="G52" s="59">
        <f t="shared" si="3"/>
        <v>0</v>
      </c>
      <c r="H52" s="78"/>
      <c r="I52" s="34"/>
      <c r="J52" s="260"/>
      <c r="K52" s="34"/>
      <c r="L52" s="34"/>
      <c r="O52"/>
      <c r="AC52" s="101"/>
      <c r="AD52" s="36"/>
    </row>
    <row r="53" spans="1:30" x14ac:dyDescent="0.25">
      <c r="A53" s="111"/>
      <c r="B53" s="181" t="s">
        <v>57</v>
      </c>
      <c r="C53" s="76"/>
      <c r="D53" s="136">
        <f>'Calc.'!G251</f>
        <v>1228.6879999999999</v>
      </c>
      <c r="E53" s="79">
        <f>'TW - ASML Scara XT'!E53</f>
        <v>0</v>
      </c>
      <c r="F53" s="34"/>
      <c r="G53" s="59">
        <f t="shared" si="3"/>
        <v>0</v>
      </c>
      <c r="H53" s="78"/>
      <c r="I53" s="34"/>
      <c r="J53" s="260"/>
      <c r="K53" s="34"/>
      <c r="L53" s="34"/>
      <c r="O53"/>
      <c r="AC53" s="101"/>
      <c r="AD53" s="36"/>
    </row>
    <row r="54" spans="1:30" x14ac:dyDescent="0.25">
      <c r="A54" s="111"/>
      <c r="B54" s="83" t="s">
        <v>58</v>
      </c>
      <c r="C54" s="76"/>
      <c r="D54" s="76"/>
      <c r="E54" s="79">
        <f>'TW - ASML Scara XT'!E54</f>
        <v>0</v>
      </c>
      <c r="F54" s="260"/>
      <c r="G54" s="84"/>
      <c r="H54" s="78"/>
      <c r="I54" s="34"/>
      <c r="J54" s="34"/>
      <c r="K54" s="34"/>
      <c r="L54" s="85"/>
      <c r="O54"/>
      <c r="AC54" s="36"/>
      <c r="AD54" s="36"/>
    </row>
    <row r="55" spans="1:30" s="2" customFormat="1" x14ac:dyDescent="0.25">
      <c r="A55" s="39"/>
      <c r="B55" s="52" t="s">
        <v>59</v>
      </c>
      <c r="C55" s="60"/>
      <c r="D55" s="61"/>
      <c r="E55" s="62"/>
      <c r="F55" s="184"/>
      <c r="G55" s="63"/>
      <c r="H55" s="78"/>
      <c r="I55" s="39"/>
      <c r="J55" s="39"/>
      <c r="K55" s="39"/>
      <c r="L55" s="39"/>
      <c r="O55"/>
      <c r="AC55" s="39"/>
      <c r="AD55" s="39"/>
    </row>
    <row r="56" spans="1:30" x14ac:dyDescent="0.25">
      <c r="A56" s="111"/>
      <c r="B56" s="129" t="s">
        <v>60</v>
      </c>
      <c r="C56" s="76"/>
      <c r="D56" s="77">
        <f>'Calc.'!G199</f>
        <v>270.27999999999997</v>
      </c>
      <c r="E56" s="79">
        <f>'TW - ASML Scara XT'!E56</f>
        <v>0</v>
      </c>
      <c r="F56" s="34"/>
      <c r="G56" s="59">
        <f t="shared" ref="G56:G62" si="4">F56*D56</f>
        <v>0</v>
      </c>
      <c r="H56" s="78"/>
      <c r="I56" s="34"/>
      <c r="J56" s="34"/>
      <c r="K56" s="34"/>
      <c r="L56" s="34"/>
      <c r="O56"/>
      <c r="AC56" s="36"/>
      <c r="AD56" s="36"/>
    </row>
    <row r="57" spans="1:30" x14ac:dyDescent="0.25">
      <c r="A57" s="111"/>
      <c r="B57" s="103" t="s">
        <v>61</v>
      </c>
      <c r="C57" s="76"/>
      <c r="D57" s="77">
        <f>'Calc.'!G205</f>
        <v>286.52</v>
      </c>
      <c r="E57" s="79">
        <f>'TW - ASML Scara XT'!E57</f>
        <v>0</v>
      </c>
      <c r="F57" s="34"/>
      <c r="G57" s="59">
        <f t="shared" si="4"/>
        <v>0</v>
      </c>
      <c r="H57" s="78"/>
      <c r="I57" s="34"/>
      <c r="J57" s="34"/>
      <c r="K57" s="34"/>
      <c r="L57" s="34"/>
      <c r="O57"/>
      <c r="AC57" s="36"/>
    </row>
    <row r="58" spans="1:30" x14ac:dyDescent="0.25">
      <c r="A58" s="111"/>
      <c r="B58" s="129" t="s">
        <v>62</v>
      </c>
      <c r="C58" s="76"/>
      <c r="D58" s="77">
        <f>'Calc.'!G239</f>
        <v>721.72</v>
      </c>
      <c r="E58" s="79">
        <f>'TW - ASML Scara XT'!E58</f>
        <v>0</v>
      </c>
      <c r="F58" s="34"/>
      <c r="G58" s="59">
        <f t="shared" si="4"/>
        <v>0</v>
      </c>
      <c r="H58" s="78"/>
      <c r="I58" s="34"/>
      <c r="J58" s="34"/>
      <c r="K58" s="34"/>
      <c r="L58" s="34"/>
      <c r="O58"/>
      <c r="AC58" s="36"/>
    </row>
    <row r="59" spans="1:30" x14ac:dyDescent="0.25">
      <c r="A59" s="111"/>
      <c r="B59" s="103" t="s">
        <v>333</v>
      </c>
      <c r="C59" s="76"/>
      <c r="D59" s="77">
        <f>'Calc.'!G245</f>
        <v>774.92</v>
      </c>
      <c r="E59" s="79">
        <f>'TW - ASML Scara XT'!E59</f>
        <v>0</v>
      </c>
      <c r="F59" s="34"/>
      <c r="G59" s="59">
        <f t="shared" si="4"/>
        <v>0</v>
      </c>
      <c r="H59" s="78"/>
      <c r="I59" s="34"/>
      <c r="J59" s="34"/>
      <c r="K59" s="34"/>
      <c r="L59" s="34"/>
      <c r="O59"/>
      <c r="AC59" s="36"/>
    </row>
    <row r="60" spans="1:30" x14ac:dyDescent="0.25">
      <c r="A60" s="111"/>
      <c r="B60" s="83" t="s">
        <v>64</v>
      </c>
      <c r="C60" s="76"/>
      <c r="D60" s="77">
        <f>'Calc.'!G260</f>
        <v>110.94</v>
      </c>
      <c r="E60" s="79">
        <f>'TW - ASML Scara XT'!E60</f>
        <v>0</v>
      </c>
      <c r="F60" s="34"/>
      <c r="G60" s="59">
        <f t="shared" si="4"/>
        <v>0</v>
      </c>
      <c r="H60" s="78"/>
      <c r="I60" s="34"/>
      <c r="J60" s="260"/>
      <c r="K60" s="34"/>
      <c r="L60" s="34"/>
      <c r="O60"/>
      <c r="AC60" s="36"/>
      <c r="AD60" s="36"/>
    </row>
    <row r="61" spans="1:30" x14ac:dyDescent="0.25">
      <c r="A61" s="111"/>
      <c r="B61" s="83" t="s">
        <v>65</v>
      </c>
      <c r="C61" s="76"/>
      <c r="D61" s="77">
        <v>425.27</v>
      </c>
      <c r="E61" s="79">
        <f>'TW - ASML Scara XT'!E61</f>
        <v>0</v>
      </c>
      <c r="F61" s="34"/>
      <c r="G61" s="59">
        <f t="shared" si="4"/>
        <v>0</v>
      </c>
      <c r="H61" s="78"/>
      <c r="I61" s="34"/>
      <c r="J61" s="260"/>
      <c r="K61" s="34"/>
      <c r="L61" s="34"/>
      <c r="O61"/>
      <c r="AC61" s="36"/>
      <c r="AD61" s="36"/>
    </row>
    <row r="62" spans="1:30" x14ac:dyDescent="0.25">
      <c r="A62" s="111"/>
      <c r="B62" s="105" t="s">
        <v>66</v>
      </c>
      <c r="C62" s="77"/>
      <c r="D62" s="77">
        <v>203.4</v>
      </c>
      <c r="E62" s="79">
        <f>'TW - ASML Scara XT'!E62</f>
        <v>0</v>
      </c>
      <c r="F62" s="34"/>
      <c r="G62" s="59">
        <f t="shared" si="4"/>
        <v>0</v>
      </c>
      <c r="H62" s="78"/>
      <c r="I62" s="86"/>
      <c r="J62" s="34"/>
      <c r="K62" s="34"/>
      <c r="L62" s="34"/>
      <c r="O62"/>
      <c r="AC62" s="36"/>
      <c r="AD62" s="36"/>
    </row>
    <row r="63" spans="1:30" x14ac:dyDescent="0.25">
      <c r="A63" s="111"/>
      <c r="B63" s="83" t="s">
        <v>67</v>
      </c>
      <c r="C63" s="76"/>
      <c r="D63" s="77"/>
      <c r="E63" s="79">
        <f>'TW - ASML Scara XT'!E63</f>
        <v>0</v>
      </c>
      <c r="F63" s="260"/>
      <c r="G63" s="84"/>
      <c r="H63" s="39"/>
      <c r="I63" s="34"/>
      <c r="J63" s="260"/>
      <c r="K63" s="34"/>
      <c r="L63" s="85"/>
      <c r="O63"/>
      <c r="AC63" s="36"/>
      <c r="AD63" s="36"/>
    </row>
    <row r="64" spans="1:30" ht="13.8" thickBot="1" x14ac:dyDescent="0.3">
      <c r="A64" s="36"/>
      <c r="B64" s="65"/>
      <c r="C64" s="66"/>
      <c r="D64" s="67"/>
      <c r="E64" s="81"/>
      <c r="F64" s="186"/>
      <c r="G64" s="69">
        <f>SUM(G34:G63)</f>
        <v>0</v>
      </c>
      <c r="H64" s="78"/>
      <c r="I64" s="34"/>
      <c r="J64" s="34"/>
      <c r="K64" s="34"/>
      <c r="L64" s="34"/>
      <c r="O64"/>
      <c r="AC64" s="36"/>
      <c r="AD64" s="36"/>
    </row>
    <row r="65" spans="1:30" ht="13.8" x14ac:dyDescent="0.25">
      <c r="A65" s="36"/>
      <c r="B65" s="43" t="s">
        <v>68</v>
      </c>
      <c r="C65" s="44"/>
      <c r="D65" s="70"/>
      <c r="E65" s="45"/>
      <c r="F65" s="45"/>
      <c r="G65" s="46"/>
      <c r="H65" s="39"/>
      <c r="I65" s="34"/>
      <c r="J65" s="34"/>
      <c r="K65" s="34"/>
      <c r="L65" s="34"/>
      <c r="O65"/>
      <c r="AC65" s="36"/>
      <c r="AD65" s="36"/>
    </row>
    <row r="66" spans="1:30" s="2" customFormat="1" ht="13.8" thickBot="1" x14ac:dyDescent="0.3">
      <c r="A66" s="39"/>
      <c r="B66" s="71" t="s">
        <v>69</v>
      </c>
      <c r="C66" s="72"/>
      <c r="D66" s="73" t="s">
        <v>18</v>
      </c>
      <c r="E66" s="74"/>
      <c r="F66" s="74"/>
      <c r="G66" s="75" t="s">
        <v>20</v>
      </c>
      <c r="H66" s="39"/>
      <c r="I66" s="39"/>
      <c r="J66" s="39"/>
      <c r="K66" s="39"/>
      <c r="L66" s="39"/>
      <c r="O66"/>
      <c r="AC66" s="39"/>
      <c r="AD66" s="39"/>
    </row>
    <row r="67" spans="1:30" x14ac:dyDescent="0.25">
      <c r="A67" s="36"/>
      <c r="B67" s="105" t="s">
        <v>70</v>
      </c>
      <c r="C67" s="76"/>
      <c r="D67" s="77">
        <v>1575</v>
      </c>
      <c r="E67" s="79">
        <f>'TW - ASML Scara XT'!E67</f>
        <v>1</v>
      </c>
      <c r="F67" s="34"/>
      <c r="G67" s="59">
        <f t="shared" ref="G67:G79" si="5">F67*D67</f>
        <v>0</v>
      </c>
      <c r="H67" s="39"/>
      <c r="I67" s="34"/>
      <c r="J67" s="34"/>
      <c r="K67" s="34"/>
      <c r="L67" s="34"/>
      <c r="O67"/>
      <c r="AC67" s="36"/>
      <c r="AD67" s="36"/>
    </row>
    <row r="68" spans="1:30" x14ac:dyDescent="0.25">
      <c r="A68" s="36"/>
      <c r="B68" s="105" t="s">
        <v>334</v>
      </c>
      <c r="C68" s="76"/>
      <c r="D68" s="77">
        <v>90</v>
      </c>
      <c r="E68" s="79">
        <f>'TW - ASML Scara XT'!E68</f>
        <v>0</v>
      </c>
      <c r="F68" s="34"/>
      <c r="G68" s="59">
        <f t="shared" si="5"/>
        <v>0</v>
      </c>
      <c r="H68" s="39"/>
      <c r="I68" s="34"/>
      <c r="J68" s="34"/>
      <c r="K68" s="34"/>
      <c r="L68" s="34"/>
      <c r="O68"/>
      <c r="AC68" s="36"/>
      <c r="AD68" s="36"/>
    </row>
    <row r="69" spans="1:30" x14ac:dyDescent="0.25">
      <c r="A69" s="36"/>
      <c r="B69" s="105" t="s">
        <v>73</v>
      </c>
      <c r="C69" s="76"/>
      <c r="D69" s="77">
        <v>3004.71</v>
      </c>
      <c r="E69" s="79">
        <f>'TW - ASML Scara XT'!E69</f>
        <v>0</v>
      </c>
      <c r="F69" s="34"/>
      <c r="G69" s="59">
        <f t="shared" si="5"/>
        <v>0</v>
      </c>
      <c r="H69" s="39"/>
      <c r="I69" s="34"/>
      <c r="J69" s="34"/>
      <c r="K69" s="34"/>
      <c r="L69" s="34"/>
      <c r="O69"/>
      <c r="AC69" s="36"/>
      <c r="AD69" s="36"/>
    </row>
    <row r="70" spans="1:30" x14ac:dyDescent="0.25">
      <c r="A70" s="36"/>
      <c r="B70" s="105" t="s">
        <v>311</v>
      </c>
      <c r="C70" s="76"/>
      <c r="D70" s="77"/>
      <c r="E70" s="79">
        <f>'TW - ASML Scara XT'!E70</f>
        <v>0</v>
      </c>
      <c r="F70" s="34"/>
      <c r="G70" s="59">
        <f t="shared" si="5"/>
        <v>0</v>
      </c>
      <c r="H70" s="39"/>
      <c r="I70" s="34"/>
      <c r="J70" s="34"/>
      <c r="K70" s="34"/>
      <c r="L70" s="34"/>
      <c r="O70"/>
      <c r="AC70" s="36"/>
      <c r="AD70" s="36"/>
    </row>
    <row r="71" spans="1:30" x14ac:dyDescent="0.25">
      <c r="A71" s="36"/>
      <c r="B71" s="105" t="s">
        <v>75</v>
      </c>
      <c r="C71" s="76"/>
      <c r="D71" s="77">
        <v>386.68</v>
      </c>
      <c r="E71" s="79">
        <f>'TW - ASML Scara XT'!E71</f>
        <v>0</v>
      </c>
      <c r="F71" s="34"/>
      <c r="G71" s="59">
        <f t="shared" si="5"/>
        <v>0</v>
      </c>
      <c r="H71" s="39"/>
      <c r="I71" s="34"/>
      <c r="J71" s="34"/>
      <c r="K71" s="34"/>
      <c r="L71" s="34"/>
      <c r="O71"/>
      <c r="AC71" s="36"/>
      <c r="AD71" s="36"/>
    </row>
    <row r="72" spans="1:30" x14ac:dyDescent="0.25">
      <c r="A72" s="36"/>
      <c r="B72" s="83" t="s">
        <v>76</v>
      </c>
      <c r="C72" s="76"/>
      <c r="D72" s="77">
        <v>1646.3314638009499</v>
      </c>
      <c r="E72" s="79">
        <f>'TW - ASML Scara XT'!E72</f>
        <v>1</v>
      </c>
      <c r="F72" s="34"/>
      <c r="G72" s="59">
        <f t="shared" si="5"/>
        <v>0</v>
      </c>
      <c r="H72" s="39"/>
      <c r="J72" s="34"/>
      <c r="K72" s="34"/>
      <c r="L72" s="34"/>
      <c r="O72"/>
      <c r="AC72" s="36"/>
      <c r="AD72" s="36"/>
    </row>
    <row r="73" spans="1:30" x14ac:dyDescent="0.25">
      <c r="A73" s="36"/>
      <c r="B73" s="83" t="s">
        <v>78</v>
      </c>
      <c r="C73" s="76"/>
      <c r="D73" s="77">
        <v>206.17</v>
      </c>
      <c r="E73" s="79">
        <f>'TW - ASML Scara XT'!E73</f>
        <v>0</v>
      </c>
      <c r="F73" s="34"/>
      <c r="G73" s="59">
        <f t="shared" si="5"/>
        <v>0</v>
      </c>
      <c r="H73" s="39"/>
      <c r="I73" s="86"/>
      <c r="J73" s="34"/>
      <c r="K73" s="34"/>
      <c r="L73" s="34"/>
      <c r="O73"/>
      <c r="AC73" s="36"/>
      <c r="AD73" s="36"/>
    </row>
    <row r="74" spans="1:30" x14ac:dyDescent="0.25">
      <c r="A74" s="36"/>
      <c r="B74" s="83" t="s">
        <v>79</v>
      </c>
      <c r="C74" s="76"/>
      <c r="D74" s="77">
        <v>150</v>
      </c>
      <c r="E74" s="79">
        <f>'TW - ASML Scara XT'!E74</f>
        <v>1</v>
      </c>
      <c r="F74" s="34"/>
      <c r="G74" s="59">
        <f t="shared" si="5"/>
        <v>0</v>
      </c>
      <c r="H74" s="78"/>
      <c r="I74" s="34"/>
      <c r="J74" s="34"/>
      <c r="K74" s="34"/>
      <c r="L74" s="34"/>
      <c r="O74"/>
      <c r="AC74" s="36"/>
      <c r="AD74" s="36"/>
    </row>
    <row r="75" spans="1:30" x14ac:dyDescent="0.25">
      <c r="A75" s="36"/>
      <c r="B75" s="105" t="s">
        <v>80</v>
      </c>
      <c r="C75" s="76"/>
      <c r="D75" s="77">
        <v>90</v>
      </c>
      <c r="E75" s="79">
        <f>'TW - ASML Scara XT'!E75</f>
        <v>3</v>
      </c>
      <c r="F75" s="34"/>
      <c r="G75" s="59">
        <f t="shared" si="5"/>
        <v>0</v>
      </c>
      <c r="H75" s="78"/>
      <c r="I75" s="263"/>
      <c r="J75" s="36"/>
      <c r="K75" s="89"/>
      <c r="L75" s="36"/>
      <c r="O75"/>
      <c r="AC75" s="36"/>
      <c r="AD75" s="36"/>
    </row>
    <row r="76" spans="1:30" x14ac:dyDescent="0.25">
      <c r="A76" s="36"/>
      <c r="B76" s="83" t="s">
        <v>82</v>
      </c>
      <c r="C76" s="76"/>
      <c r="D76" s="77"/>
      <c r="E76" s="79">
        <f>'TW - ASML Scara XT'!E76</f>
        <v>0</v>
      </c>
      <c r="F76" s="34"/>
      <c r="G76" s="59">
        <f t="shared" si="5"/>
        <v>0</v>
      </c>
      <c r="H76" s="78"/>
      <c r="I76" s="263"/>
      <c r="J76" s="111"/>
      <c r="K76" s="89"/>
      <c r="L76" s="36"/>
      <c r="M76" s="15"/>
      <c r="N76" s="15"/>
      <c r="O76"/>
      <c r="AC76" s="36"/>
      <c r="AD76" s="36"/>
    </row>
    <row r="77" spans="1:30" x14ac:dyDescent="0.25">
      <c r="A77" s="36"/>
      <c r="B77" s="105" t="s">
        <v>84</v>
      </c>
      <c r="C77" s="76"/>
      <c r="D77" s="77">
        <v>135</v>
      </c>
      <c r="E77" s="79">
        <f>'TW - ASML Scara XT'!E77</f>
        <v>1</v>
      </c>
      <c r="F77" s="34"/>
      <c r="G77" s="59">
        <f t="shared" si="5"/>
        <v>0</v>
      </c>
      <c r="H77" s="39"/>
      <c r="I77" s="263"/>
      <c r="J77" s="36"/>
      <c r="K77" s="89"/>
      <c r="L77" s="36"/>
      <c r="O77"/>
      <c r="AC77" s="36"/>
      <c r="AD77" s="36"/>
    </row>
    <row r="78" spans="1:30" x14ac:dyDescent="0.25">
      <c r="A78" s="36"/>
      <c r="B78" s="105" t="s">
        <v>85</v>
      </c>
      <c r="C78" s="76"/>
      <c r="D78" s="77">
        <v>279.17</v>
      </c>
      <c r="E78" s="79">
        <f>'TW - ASML Scara XT'!E78</f>
        <v>0</v>
      </c>
      <c r="F78" s="34"/>
      <c r="G78" s="59">
        <f t="shared" si="5"/>
        <v>0</v>
      </c>
      <c r="H78" s="39"/>
      <c r="I78" s="263"/>
      <c r="J78" s="36"/>
      <c r="K78" s="89"/>
      <c r="L78" s="36"/>
      <c r="O78"/>
      <c r="AC78" s="36"/>
      <c r="AD78" s="36"/>
    </row>
    <row r="79" spans="1:30" x14ac:dyDescent="0.25">
      <c r="A79" s="36"/>
      <c r="B79" s="105" t="s">
        <v>85</v>
      </c>
      <c r="C79" s="76"/>
      <c r="D79" s="77"/>
      <c r="E79" s="79">
        <f>'TW - ASML Scara XT'!E79</f>
        <v>0</v>
      </c>
      <c r="F79" s="34"/>
      <c r="G79" s="59">
        <f t="shared" si="5"/>
        <v>0</v>
      </c>
      <c r="H79" s="39"/>
      <c r="I79" s="263"/>
      <c r="J79" s="36"/>
      <c r="K79" s="89"/>
      <c r="L79" s="36"/>
      <c r="O79"/>
      <c r="AC79" s="36"/>
      <c r="AD79" s="36"/>
    </row>
    <row r="80" spans="1:30" ht="13.8" thickBot="1" x14ac:dyDescent="0.3">
      <c r="A80" s="36"/>
      <c r="B80" s="90"/>
      <c r="C80" s="91"/>
      <c r="D80" s="91"/>
      <c r="E80" s="92"/>
      <c r="F80" s="186"/>
      <c r="G80" s="69">
        <f>SUM(G67:G79)</f>
        <v>0</v>
      </c>
      <c r="H80" s="93"/>
      <c r="I80" s="89"/>
      <c r="J80" s="36"/>
      <c r="K80" s="89"/>
      <c r="L80" s="36"/>
      <c r="O80"/>
      <c r="AC80" s="36"/>
      <c r="AD80" s="36"/>
    </row>
    <row r="81" spans="1:32" ht="16.8" thickTop="1" thickBot="1" x14ac:dyDescent="0.35">
      <c r="A81" s="36"/>
      <c r="B81" s="94" t="s">
        <v>86</v>
      </c>
      <c r="C81" s="95"/>
      <c r="D81" s="95"/>
      <c r="E81" s="96"/>
      <c r="F81" s="96"/>
      <c r="G81" s="97">
        <f>SUM(G80,G64,G30,G19)</f>
        <v>0</v>
      </c>
      <c r="H81" s="36"/>
      <c r="I81" s="114"/>
      <c r="J81" s="36"/>
      <c r="K81" s="114"/>
      <c r="L81" s="36"/>
      <c r="O81"/>
      <c r="V81" s="115"/>
      <c r="AC81" s="36"/>
      <c r="AD81" s="36"/>
    </row>
    <row r="82" spans="1:32" ht="15.6" x14ac:dyDescent="0.3">
      <c r="A82" s="36"/>
      <c r="B82" s="133"/>
      <c r="C82" s="44"/>
      <c r="D82" s="44"/>
      <c r="E82" s="45"/>
      <c r="F82" s="45"/>
      <c r="G82" s="134"/>
      <c r="H82" s="36"/>
      <c r="I82" s="114"/>
      <c r="J82" s="36"/>
      <c r="K82" s="114"/>
      <c r="L82" s="36"/>
      <c r="O82"/>
      <c r="V82" s="115"/>
      <c r="AC82" s="36"/>
      <c r="AD82" s="36"/>
    </row>
    <row r="83" spans="1:32" ht="15.6" x14ac:dyDescent="0.3">
      <c r="A83" s="118"/>
      <c r="B83" s="130"/>
      <c r="C83" s="118"/>
      <c r="D83" s="118"/>
      <c r="E83" s="131"/>
      <c r="F83" s="131"/>
      <c r="G83" s="132"/>
      <c r="H83" s="118"/>
      <c r="I83" s="119"/>
      <c r="J83" s="118"/>
      <c r="K83" s="119"/>
      <c r="L83" s="118"/>
      <c r="M83" s="117"/>
      <c r="N83" s="117"/>
      <c r="O83" s="116"/>
      <c r="P83" s="117"/>
      <c r="Q83" s="117"/>
      <c r="R83" s="117"/>
      <c r="S83" s="117"/>
      <c r="T83" s="117"/>
      <c r="U83" s="116"/>
      <c r="V83" s="116"/>
      <c r="W83" s="116"/>
      <c r="X83" s="116"/>
      <c r="Y83" s="116"/>
      <c r="Z83" s="116"/>
      <c r="AA83" s="116"/>
      <c r="AB83" s="116"/>
      <c r="AC83" s="118"/>
      <c r="AD83" s="118"/>
      <c r="AE83" s="116"/>
      <c r="AF83" s="116"/>
    </row>
    <row r="84" spans="1:32" x14ac:dyDescent="0.25">
      <c r="B84" s="36"/>
      <c r="C84" s="36"/>
      <c r="D84" s="36"/>
      <c r="E84" s="34"/>
      <c r="F84" s="34"/>
      <c r="G84" s="34"/>
    </row>
    <row r="85" spans="1:32" x14ac:dyDescent="0.25">
      <c r="B85" s="36"/>
      <c r="C85" s="36"/>
      <c r="D85" s="36"/>
      <c r="E85" s="34"/>
      <c r="F85" s="34"/>
      <c r="G85" s="34"/>
    </row>
    <row r="86" spans="1:32" x14ac:dyDescent="0.25">
      <c r="B86" s="36"/>
      <c r="C86" s="36"/>
      <c r="D86" s="36"/>
      <c r="E86" s="34"/>
      <c r="F86" s="34"/>
      <c r="G86" s="34"/>
    </row>
    <row r="87" spans="1:32" x14ac:dyDescent="0.25">
      <c r="B87" s="36"/>
      <c r="C87" s="36"/>
      <c r="D87" s="36"/>
      <c r="E87" s="34"/>
      <c r="F87" s="34"/>
      <c r="G87" s="34"/>
    </row>
    <row r="88" spans="1:32" x14ac:dyDescent="0.25">
      <c r="B88" s="36"/>
      <c r="C88" s="36"/>
      <c r="D88" s="36"/>
      <c r="E88" s="34"/>
      <c r="F88" s="34"/>
      <c r="G88" s="34"/>
    </row>
    <row r="89" spans="1:32" x14ac:dyDescent="0.25">
      <c r="B89" s="36"/>
      <c r="C89" s="36"/>
      <c r="D89" s="36"/>
      <c r="E89" s="34"/>
      <c r="F89" s="34"/>
      <c r="G89" s="34"/>
    </row>
    <row r="90" spans="1:32" x14ac:dyDescent="0.25">
      <c r="B90" s="36"/>
      <c r="C90" s="36"/>
      <c r="D90" s="36"/>
      <c r="E90" s="34"/>
      <c r="F90" s="34"/>
      <c r="G90" s="34"/>
    </row>
    <row r="91" spans="1:32" x14ac:dyDescent="0.25">
      <c r="B91" s="36"/>
      <c r="C91" s="36"/>
      <c r="D91" s="36"/>
      <c r="E91" s="34"/>
      <c r="F91" s="34"/>
      <c r="G91" s="34"/>
    </row>
    <row r="92" spans="1:32" x14ac:dyDescent="0.25">
      <c r="B92" s="36"/>
      <c r="C92" s="36"/>
      <c r="D92" s="36"/>
      <c r="E92" s="34"/>
      <c r="F92" s="34"/>
      <c r="G92" s="34"/>
    </row>
    <row r="93" spans="1:32" x14ac:dyDescent="0.25">
      <c r="B93" s="36"/>
      <c r="C93" s="36"/>
      <c r="D93" s="36"/>
      <c r="E93" s="34"/>
      <c r="F93" s="34"/>
      <c r="G93" s="34"/>
    </row>
    <row r="94" spans="1:32" x14ac:dyDescent="0.25">
      <c r="B94" s="36"/>
      <c r="C94" s="36"/>
      <c r="D94" s="36"/>
      <c r="E94" s="34"/>
      <c r="F94" s="34"/>
      <c r="G94" s="34"/>
    </row>
    <row r="95" spans="1:32" x14ac:dyDescent="0.25">
      <c r="B95" s="36"/>
      <c r="C95" s="36"/>
      <c r="D95" s="36"/>
      <c r="E95" s="34"/>
      <c r="F95" s="34"/>
      <c r="G95" s="34"/>
    </row>
    <row r="96" spans="1:32" x14ac:dyDescent="0.25">
      <c r="B96" s="36"/>
      <c r="C96" s="36"/>
      <c r="D96" s="36"/>
      <c r="E96" s="34"/>
      <c r="F96" s="34"/>
      <c r="G96" s="34"/>
    </row>
    <row r="97" spans="2:7" x14ac:dyDescent="0.25">
      <c r="B97" s="36"/>
      <c r="C97" s="36"/>
      <c r="D97" s="36"/>
      <c r="E97" s="34"/>
      <c r="F97" s="34"/>
      <c r="G97" s="34"/>
    </row>
    <row r="98" spans="2:7" x14ac:dyDescent="0.25">
      <c r="B98" s="36"/>
      <c r="C98" s="36"/>
      <c r="D98" s="36"/>
      <c r="E98" s="34"/>
      <c r="F98" s="34"/>
      <c r="G98" s="34"/>
    </row>
    <row r="99" spans="2:7" x14ac:dyDescent="0.25">
      <c r="B99" s="36"/>
      <c r="C99" s="36"/>
      <c r="D99" s="36"/>
      <c r="E99" s="34"/>
      <c r="F99" s="34"/>
      <c r="G99" s="34"/>
    </row>
    <row r="100" spans="2:7" x14ac:dyDescent="0.25">
      <c r="B100" s="36"/>
      <c r="C100" s="36"/>
      <c r="D100" s="36"/>
      <c r="E100" s="34"/>
      <c r="F100" s="34"/>
      <c r="G100" s="34"/>
    </row>
    <row r="101" spans="2:7" x14ac:dyDescent="0.25">
      <c r="B101" s="36"/>
      <c r="C101" s="36"/>
      <c r="D101" s="36"/>
      <c r="E101" s="34"/>
      <c r="F101" s="34"/>
      <c r="G101" s="34"/>
    </row>
    <row r="102" spans="2:7" x14ac:dyDescent="0.25">
      <c r="B102" s="36"/>
      <c r="C102" s="36"/>
      <c r="D102" s="36"/>
      <c r="E102" s="34"/>
      <c r="F102" s="34"/>
      <c r="G102" s="34"/>
    </row>
    <row r="103" spans="2:7" x14ac:dyDescent="0.25">
      <c r="B103" s="36"/>
      <c r="C103" s="36"/>
      <c r="D103" s="36"/>
      <c r="E103" s="34"/>
      <c r="F103" s="34"/>
      <c r="G103" s="34"/>
    </row>
    <row r="104" spans="2:7" x14ac:dyDescent="0.25">
      <c r="B104" s="36"/>
      <c r="C104" s="36"/>
      <c r="D104" s="36"/>
      <c r="E104" s="34"/>
      <c r="F104" s="34"/>
      <c r="G104" s="34"/>
    </row>
    <row r="105" spans="2:7" x14ac:dyDescent="0.25">
      <c r="B105" s="36"/>
      <c r="C105" s="36"/>
      <c r="D105" s="36"/>
      <c r="E105" s="34"/>
      <c r="F105" s="34"/>
      <c r="G105" s="34"/>
    </row>
    <row r="106" spans="2:7" x14ac:dyDescent="0.25">
      <c r="B106" s="36"/>
      <c r="C106" s="36"/>
      <c r="D106" s="36"/>
      <c r="E106" s="34"/>
      <c r="F106" s="34"/>
      <c r="G106" s="34"/>
    </row>
    <row r="107" spans="2:7" x14ac:dyDescent="0.25">
      <c r="B107" s="36"/>
      <c r="C107" s="36"/>
      <c r="D107" s="36"/>
      <c r="E107" s="34"/>
      <c r="F107" s="34"/>
      <c r="G107" s="34"/>
    </row>
    <row r="108" spans="2:7" x14ac:dyDescent="0.25">
      <c r="B108" s="36"/>
      <c r="C108" s="36"/>
      <c r="D108" s="36"/>
      <c r="E108" s="34"/>
      <c r="F108" s="34"/>
      <c r="G108" s="34"/>
    </row>
    <row r="109" spans="2:7" x14ac:dyDescent="0.25">
      <c r="B109" s="36"/>
      <c r="C109" s="36"/>
      <c r="D109" s="36"/>
      <c r="E109" s="34"/>
      <c r="F109" s="34"/>
      <c r="G109" s="34"/>
    </row>
    <row r="110" spans="2:7" x14ac:dyDescent="0.25">
      <c r="B110" s="36"/>
      <c r="C110" s="36"/>
      <c r="D110" s="36"/>
      <c r="E110" s="34"/>
      <c r="F110" s="34"/>
      <c r="G110" s="34"/>
    </row>
    <row r="111" spans="2:7" x14ac:dyDescent="0.25">
      <c r="B111" s="36"/>
      <c r="C111" s="36"/>
      <c r="D111" s="36"/>
      <c r="E111" s="34"/>
      <c r="F111" s="34"/>
      <c r="G111" s="34"/>
    </row>
    <row r="112" spans="2:7" x14ac:dyDescent="0.25">
      <c r="B112" s="36"/>
      <c r="C112" s="36"/>
      <c r="D112" s="36"/>
      <c r="E112" s="34"/>
      <c r="F112" s="34"/>
      <c r="G112" s="34"/>
    </row>
    <row r="113" spans="2:7" x14ac:dyDescent="0.25">
      <c r="B113" s="36"/>
      <c r="C113" s="36"/>
      <c r="D113" s="36"/>
      <c r="E113" s="34"/>
      <c r="F113" s="34"/>
      <c r="G113" s="34"/>
    </row>
    <row r="114" spans="2:7" x14ac:dyDescent="0.25">
      <c r="B114" s="36"/>
      <c r="C114" s="36"/>
      <c r="D114" s="36"/>
      <c r="E114" s="34"/>
      <c r="F114" s="34"/>
      <c r="G114" s="34"/>
    </row>
  </sheetData>
  <sheetProtection formatCells="0" formatColumns="0"/>
  <mergeCells count="5">
    <mergeCell ref="B2:G2"/>
    <mergeCell ref="C5:E5"/>
    <mergeCell ref="N33:Q33"/>
    <mergeCell ref="S33:V33"/>
    <mergeCell ref="C4:E4"/>
  </mergeCells>
  <phoneticPr fontId="24" type="noConversion"/>
  <conditionalFormatting sqref="R13:R17 R19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rintOptions gridLines="1"/>
  <pageMargins left="0.98425196850393704" right="0.78740157480314965" top="0.98425196850393704" bottom="0.98425196850393704" header="0.51181102362204722" footer="0.51181102362204722"/>
  <pageSetup paperSize="9" scale="23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2f18ca-49d4-4b50-9b9c-de1653fab1e1">
      <Terms xmlns="http://schemas.microsoft.com/office/infopath/2007/PartnerControls"/>
    </lcf76f155ced4ddcb4097134ff3c332f>
    <TaxCatchAll xmlns="c7dd2cda-f2dd-4dfd-9875-e45482f6c65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01BBC5119E524A92B7FE09E77D259C" ma:contentTypeVersion="14" ma:contentTypeDescription="Ein neues Dokument erstellen." ma:contentTypeScope="" ma:versionID="a9f78ad4015d4b109976c4c392570d96">
  <xsd:schema xmlns:xsd="http://www.w3.org/2001/XMLSchema" xmlns:xs="http://www.w3.org/2001/XMLSchema" xmlns:p="http://schemas.microsoft.com/office/2006/metadata/properties" xmlns:ns2="852f18ca-49d4-4b50-9b9c-de1653fab1e1" xmlns:ns3="c7dd2cda-f2dd-4dfd-9875-e45482f6c65a" targetNamespace="http://schemas.microsoft.com/office/2006/metadata/properties" ma:root="true" ma:fieldsID="bf48c393487d174bd73f85e95b9823b8" ns2:_="" ns3:_="">
    <xsd:import namespace="852f18ca-49d4-4b50-9b9c-de1653fab1e1"/>
    <xsd:import namespace="c7dd2cda-f2dd-4dfd-9875-e45482f6c6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f18ca-49d4-4b50-9b9c-de1653fab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825f872-c86f-4815-b6cb-e52c1c2fdc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d2cda-f2dd-4dfd-9875-e45482f6c65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ff62cf74-5a75-477d-bc72-3c6cca54b4ba}" ma:internalName="TaxCatchAll" ma:showField="CatchAllData" ma:web="c7dd2cda-f2dd-4dfd-9875-e45482f6c6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scriptIds xmlns="http://schemas.microsoft.com/office/extensibility/maker/v1.0" id="script-ids-node-id">
  <scriptId xmlns="" id="ms-officescript%3A%2F%2Fsharepoint_itemlink%2Fb!kXgO2NbdBk2UdxD1UYuI19os3cfd8v1NmHXkVIL2xlrKGC-F1ElQS5uc3hZT-rHh%2F013MWTHBMESSP2RGKSMVEIBUMAK6ZUSYRS:ms-officescript%3A%2F%2Fsharepoint_sharinglink%2Fu!aHR0cHM6Ly9hc3lzbWljcm8uc2hhcmVwb2ludC5jb20vOnU6L3MvQ29uY2VwdEFTWVNEb2N1bWVudFNlcnZlci9FWVNVbjZpWlVtVklnTkdBVjdOSllqSUJRQUc5VE1GZV9HQTB5T3REakJLSUpn"/>
</scriptIds>
</file>

<file path=customXml/itemProps1.xml><?xml version="1.0" encoding="utf-8"?>
<ds:datastoreItem xmlns:ds="http://schemas.openxmlformats.org/officeDocument/2006/customXml" ds:itemID="{D3BB3AF2-62CC-464E-94B3-DB9A2E44CDF9}">
  <ds:schemaRefs>
    <ds:schemaRef ds:uri="http://schemas.microsoft.com/office/2006/metadata/properties"/>
    <ds:schemaRef ds:uri="http://schemas.microsoft.com/office/infopath/2007/PartnerControls"/>
    <ds:schemaRef ds:uri="852f18ca-49d4-4b50-9b9c-de1653fab1e1"/>
    <ds:schemaRef ds:uri="c7dd2cda-f2dd-4dfd-9875-e45482f6c65a"/>
  </ds:schemaRefs>
</ds:datastoreItem>
</file>

<file path=customXml/itemProps2.xml><?xml version="1.0" encoding="utf-8"?>
<ds:datastoreItem xmlns:ds="http://schemas.openxmlformats.org/officeDocument/2006/customXml" ds:itemID="{C6CA51E1-9EA2-4B48-994E-57EBEFC27F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2f18ca-49d4-4b50-9b9c-de1653fab1e1"/>
    <ds:schemaRef ds:uri="c7dd2cda-f2dd-4dfd-9875-e45482f6c6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BEB5BD-C473-40A8-BA2B-F548E525BF8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F9252F6-996E-4328-B9B8-13EF7DD050F3}">
  <ds:schemaRefs>
    <ds:schemaRef ds:uri="http://schemas.microsoft.com/office/extensibility/maker/v1.0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TW - ASML Scara XT</vt:lpstr>
      <vt:lpstr>Component Costs</vt:lpstr>
      <vt:lpstr>Sheet1</vt:lpstr>
      <vt:lpstr>History</vt:lpstr>
      <vt:lpstr>Calc.</vt:lpstr>
      <vt:lpstr>Internal</vt:lpstr>
      <vt:lpstr>Calc.!Print_Area</vt:lpstr>
      <vt:lpstr>Internal!Print_Area</vt:lpstr>
      <vt:lpstr>'TW - ASML Scara XT'!Print_Area</vt:lpstr>
      <vt:lpstr>Calc.!Stundensatz</vt:lpstr>
      <vt:lpstr>Stundensatzs</vt:lpstr>
      <vt:lpstr>TYPE</vt:lpstr>
    </vt:vector>
  </TitlesOfParts>
  <Manager/>
  <Company>ASYS GmbH &amp; Co. KG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Karsten Weber</dc:creator>
  <cp:keywords/>
  <dc:description/>
  <cp:lastModifiedBy>Emily Huang</cp:lastModifiedBy>
  <cp:revision/>
  <dcterms:created xsi:type="dcterms:W3CDTF">2011-12-05T09:49:42Z</dcterms:created>
  <dcterms:modified xsi:type="dcterms:W3CDTF">2024-05-02T07:48:06Z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0x0101001D01BBC5119E524A92B7FE09E77D259C</vt:lpwstr>
  </property>
  <property fmtid="{D5CDD505-2E9C-101B-9397-08002B2CF9AE}" pid="3" name="MediaServiceImageTags">
    <vt:lpwstr/>
  </property>
</Properties>
</file>