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MIMSA\PROVEEDORES 2015\"/>
    </mc:Choice>
  </mc:AlternateContent>
  <bookViews>
    <workbookView xWindow="0" yWindow="0" windowWidth="16380" windowHeight="8190" tabRatio="814" firstSheet="55" activeTab="61"/>
  </bookViews>
  <sheets>
    <sheet name="SL,25,02,11" sheetId="2" state="hidden" r:id="rId1"/>
    <sheet name="$ 25.02.11" sheetId="3" state="hidden" r:id="rId2"/>
    <sheet name="SL,04,03,11" sheetId="4" state="hidden" r:id="rId3"/>
    <sheet name="$ 04.03.11 " sheetId="5" state="hidden" r:id="rId4"/>
    <sheet name="SL,11,03,11" sheetId="6" state="hidden" r:id="rId5"/>
    <sheet name="$ 11.03.11" sheetId="7" state="hidden" r:id="rId6"/>
    <sheet name="SL,18,03,11" sheetId="8" state="hidden" r:id="rId7"/>
    <sheet name="$ 18.03.11" sheetId="9" state="hidden" r:id="rId8"/>
    <sheet name="$ 25.03.11" sheetId="10" state="hidden" r:id="rId9"/>
    <sheet name="SL 25,03,11" sheetId="11" state="hidden" r:id="rId10"/>
    <sheet name="SL. 01,04,11" sheetId="12" state="hidden" r:id="rId11"/>
    <sheet name="$ 01,04,11" sheetId="13" state="hidden" r:id="rId12"/>
    <sheet name="SL. 08,04,11 " sheetId="14" state="hidden" r:id="rId13"/>
    <sheet name="$ 08,04,11 " sheetId="15" state="hidden" r:id="rId14"/>
    <sheet name="SL 15,04,11" sheetId="16" state="hidden" r:id="rId15"/>
    <sheet name="$ 15,04,11 " sheetId="17" state="hidden" r:id="rId16"/>
    <sheet name="SL 22,04,11 " sheetId="18" state="hidden" r:id="rId17"/>
    <sheet name="$ 22,04,11" sheetId="19" state="hidden" r:id="rId18"/>
    <sheet name="SL 04.11.11" sheetId="20" state="hidden" r:id="rId19"/>
    <sheet name="$ 04.11.11" sheetId="21" state="hidden" r:id="rId20"/>
    <sheet name="SL 11.11.11" sheetId="22" state="hidden" r:id="rId21"/>
    <sheet name="$ 11.11.11" sheetId="23" state="hidden" r:id="rId22"/>
    <sheet name="SL 18.11.11" sheetId="24" state="hidden" r:id="rId23"/>
    <sheet name="$ 18.11.11" sheetId="25" state="hidden" r:id="rId24"/>
    <sheet name="SL 25.11.11" sheetId="26" state="hidden" r:id="rId25"/>
    <sheet name="$ 25.11.11" sheetId="27" state="hidden" r:id="rId26"/>
    <sheet name="SL 02.12.11 " sheetId="28" state="hidden" r:id="rId27"/>
    <sheet name="$ 02.12.11" sheetId="29" state="hidden" r:id="rId28"/>
    <sheet name="SL 09.12.11 " sheetId="30" state="hidden" r:id="rId29"/>
    <sheet name="$ 09.12.11 " sheetId="31" state="hidden" r:id="rId30"/>
    <sheet name="SL 16.12.11  " sheetId="32" state="hidden" r:id="rId31"/>
    <sheet name="$ 16.12.11 " sheetId="33" state="hidden" r:id="rId32"/>
    <sheet name="SL 23.12.11" sheetId="34" state="hidden" r:id="rId33"/>
    <sheet name="$ 23.12.11" sheetId="35" state="hidden" r:id="rId34"/>
    <sheet name="SL 30.12.11" sheetId="36" state="hidden" r:id="rId35"/>
    <sheet name="$ 30.12.11 " sheetId="37" state="hidden" r:id="rId36"/>
    <sheet name="SL 03.02.12" sheetId="38" state="hidden" r:id="rId37"/>
    <sheet name="$ 03.02.12" sheetId="39" state="hidden" r:id="rId38"/>
    <sheet name="SL 10.02.12" sheetId="40" state="hidden" r:id="rId39"/>
    <sheet name="$ 10.02.12" sheetId="41" state="hidden" r:id="rId40"/>
    <sheet name="SL 17.02.12" sheetId="42" state="hidden" r:id="rId41"/>
    <sheet name="$ 17.02.12" sheetId="43" state="hidden" r:id="rId42"/>
    <sheet name="SL 24.02.12" sheetId="44" state="hidden" r:id="rId43"/>
    <sheet name="$ 24.02.12" sheetId="45" state="hidden" r:id="rId44"/>
    <sheet name="$ 11.02.11" sheetId="46" state="hidden" r:id="rId45"/>
    <sheet name="SL 30.03.12" sheetId="47" state="hidden" r:id="rId46"/>
    <sheet name="$ 30.03.12" sheetId="48" state="hidden" r:id="rId47"/>
    <sheet name="SL 07.04.12" sheetId="49" state="hidden" r:id="rId48"/>
    <sheet name="$ 07.04.12" sheetId="50" state="hidden" r:id="rId49"/>
    <sheet name="SL 14.04.12" sheetId="51" state="hidden" r:id="rId50"/>
    <sheet name="$ 14.04.12" sheetId="52" state="hidden" r:id="rId51"/>
    <sheet name="SL 21.04.12" sheetId="53" state="hidden" r:id="rId52"/>
    <sheet name="$ 21.04.12" sheetId="54" state="hidden" r:id="rId53"/>
    <sheet name="SL 28.04.12" sheetId="55" state="hidden" r:id="rId54"/>
    <sheet name="$ 28.04.12" sheetId="56" state="hidden" r:id="rId55"/>
    <sheet name="SOLES 05.05.15" sheetId="57" r:id="rId56"/>
    <sheet name="DOLARES 05.05.15" sheetId="58" r:id="rId57"/>
    <sheet name="SOLES 12.05.15" sheetId="59" r:id="rId58"/>
    <sheet name="DOLARES 12.05.15" sheetId="60" r:id="rId59"/>
    <sheet name="SOLES 19.05.15" sheetId="63" r:id="rId60"/>
    <sheet name="DOLARES 19.05.15" sheetId="64" r:id="rId61"/>
    <sheet name="SOLES 26.05.15" sheetId="65" r:id="rId62"/>
    <sheet name="DOLARES 26.05.15" sheetId="66" r:id="rId63"/>
  </sheets>
  <definedNames>
    <definedName name="__xlnm.Print_Area" localSheetId="11">'$ 01,04,11'!$A$1:$G$19</definedName>
    <definedName name="__xlnm.Print_Area" localSheetId="27">'$ 02.12.11'!$A$1:$G$10</definedName>
    <definedName name="__xlnm.Print_Area" localSheetId="37">'$ 03.02.12'!$A$1:$G$17</definedName>
    <definedName name="__xlnm.Print_Area" localSheetId="3">'$ 04.03.11 '!$A$1:$G$14</definedName>
    <definedName name="__xlnm.Print_Area" localSheetId="19">'$ 04.11.11'!$A$1:$G$9</definedName>
    <definedName name="__xlnm.Print_Area" localSheetId="48">'$ 07.04.12'!$A$1:$G$13</definedName>
    <definedName name="__xlnm.Print_Area" localSheetId="13">'$ 08,04,11 '!$A$1:$G$24</definedName>
    <definedName name="__xlnm.Print_Area" localSheetId="29">'$ 09.12.11 '!$A$1:$G$12</definedName>
    <definedName name="__xlnm.Print_Area" localSheetId="39">'$ 10.02.12'!$A$1:$G$9</definedName>
    <definedName name="__xlnm.Print_Area" localSheetId="44">'$ 11.02.11'!$A$1:$G$11</definedName>
    <definedName name="__xlnm.Print_Area" localSheetId="5">'$ 11.03.11'!$A$1:$G$19</definedName>
    <definedName name="__xlnm.Print_Area" localSheetId="21">'$ 11.11.11'!$A$1:$H$43</definedName>
    <definedName name="__xlnm.Print_Area" localSheetId="50">'$ 14.04.12'!$A$1:$G$12</definedName>
    <definedName name="__xlnm.Print_Area" localSheetId="15">'$ 15,04,11 '!$A$1:$G$29</definedName>
    <definedName name="__xlnm.Print_Area" localSheetId="31">'$ 16.12.11 '!$A$1:$G$10</definedName>
    <definedName name="__xlnm.Print_Area" localSheetId="41">'$ 17.02.12'!$A$1:$G$12</definedName>
    <definedName name="__xlnm.Print_Area" localSheetId="7">'$ 18.03.11'!$A$47:$G$59</definedName>
    <definedName name="__xlnm.Print_Area" localSheetId="23">'$ 18.11.11'!$A$1:$G$16</definedName>
    <definedName name="__xlnm.Print_Area" localSheetId="52">'$ 21.04.12'!$A$1:$G$14</definedName>
    <definedName name="__xlnm.Print_Area" localSheetId="17">'$ 22,04,11'!$A$1:$G$29</definedName>
    <definedName name="__xlnm.Print_Area" localSheetId="33">'$ 23.12.11'!$A$1:$G$13</definedName>
    <definedName name="__xlnm.Print_Area" localSheetId="43">'$ 24.02.12'!$A$1:$G$12</definedName>
    <definedName name="__xlnm.Print_Area" localSheetId="1">'$ 25.02.11'!$A$1:$G$17</definedName>
    <definedName name="__xlnm.Print_Area" localSheetId="8">'$ 25.03.11'!$A$1:$G$14</definedName>
    <definedName name="__xlnm.Print_Area" localSheetId="25">'$ 25.11.11'!$A$1:$G$15</definedName>
    <definedName name="__xlnm.Print_Area" localSheetId="54">'$ 28.04.12'!$A$1:$G$12</definedName>
    <definedName name="__xlnm.Print_Area" localSheetId="46">'$ 30.03.12'!$A$50:$G$66</definedName>
    <definedName name="__xlnm.Print_Area" localSheetId="35">'$ 30.12.11 '!$A$1:$G$10</definedName>
    <definedName name="__xlnm.Print_Area" localSheetId="26">'SL 02.12.11 '!$A$1:$G$27</definedName>
    <definedName name="__xlnm.Print_Area" localSheetId="36">'SL 03.02.12'!$A$1:$G$22</definedName>
    <definedName name="__xlnm.Print_Area" localSheetId="18">'SL 04.11.11'!$A$18:$G$31</definedName>
    <definedName name="__xlnm.Print_Area" localSheetId="47">'SL 07.04.12'!$A$1:$G$10</definedName>
    <definedName name="__xlnm.Print_Area" localSheetId="28">'SL 09.12.11 '!$A$1:$G$27</definedName>
    <definedName name="__xlnm.Print_Area" localSheetId="38">'SL 10.02.12'!$A$1:$G$20</definedName>
    <definedName name="__xlnm.Print_Area" localSheetId="20">'SL 11.11.11'!$A$1:$G$71</definedName>
    <definedName name="__xlnm.Print_Area" localSheetId="49">'SL 14.04.12'!$A$56:$G$68</definedName>
    <definedName name="__xlnm.Print_Area" localSheetId="14">'SL 15,04,11'!$A$1:$G$61</definedName>
    <definedName name="__xlnm.Print_Area" localSheetId="30">'SL 16.12.11  '!$A$1:$G$21</definedName>
    <definedName name="__xlnm.Print_Area" localSheetId="40">'SL 17.02.12'!$A$1:$G$21</definedName>
    <definedName name="__xlnm.Print_Area" localSheetId="22">'SL 18.11.11'!$A$1:$G$36</definedName>
    <definedName name="__xlnm.Print_Area" localSheetId="51">'SL 21.04.12'!$A$1:$G$15</definedName>
    <definedName name="__xlnm.Print_Area" localSheetId="16">'SL 22,04,11 '!$A$1:$G$59</definedName>
    <definedName name="__xlnm.Print_Area" localSheetId="32">'SL 23.12.11'!$A$1:$G$18</definedName>
    <definedName name="__xlnm.Print_Area" localSheetId="42">'SL 24.02.12'!$A$1:$G$23</definedName>
    <definedName name="__xlnm.Print_Area" localSheetId="24">'SL 25.11.11'!$A$1:$G$25</definedName>
    <definedName name="__xlnm.Print_Area" localSheetId="45">'SL 30.03.12'!$A$66:$G$83</definedName>
    <definedName name="__xlnm.Print_Area" localSheetId="34">'SL 30.12.11'!$A$1:$G$26</definedName>
    <definedName name="__xlnm.Print_Area" localSheetId="2">'SL,04,03,11'!$A$74:$G$86</definedName>
    <definedName name="__xlnm.Print_Area" localSheetId="4">'SL,11,03,11'!$A$1:$G$34</definedName>
    <definedName name="__xlnm.Print_Area" localSheetId="6">'SL,18,03,11'!$A$85:$G$99</definedName>
    <definedName name="__xlnm.Print_Area" localSheetId="0">'SL,25,02,11'!$A$1:$G$33</definedName>
    <definedName name="__xlnm.Print_Area" localSheetId="10">'SL. 01,04,11'!$A$102:$G$117</definedName>
    <definedName name="__xlnm.Print_Area" localSheetId="12">'SL. 08,04,11 '!$A$1:$G$30</definedName>
    <definedName name="_xlnm.Print_Area" localSheetId="11">'$ 01,04,11'!$A$1:$G$19</definedName>
    <definedName name="_xlnm.Print_Area" localSheetId="27">'$ 02.12.11'!$A$1:$G$10</definedName>
    <definedName name="_xlnm.Print_Area" localSheetId="37">'$ 03.02.12'!$A$1:$G$17</definedName>
    <definedName name="_xlnm.Print_Area" localSheetId="3">'$ 04.03.11 '!$A$1:$G$14</definedName>
    <definedName name="_xlnm.Print_Area" localSheetId="19">'$ 04.11.11'!$A$1:$G$9</definedName>
    <definedName name="_xlnm.Print_Area" localSheetId="48">'$ 07.04.12'!$A$1:$G$13</definedName>
    <definedName name="_xlnm.Print_Area" localSheetId="13">'$ 08,04,11 '!$A$1:$G$24</definedName>
    <definedName name="_xlnm.Print_Area" localSheetId="29">'$ 09.12.11 '!$A$1:$G$12</definedName>
    <definedName name="_xlnm.Print_Area" localSheetId="39">'$ 10.02.12'!$A$1:$G$9</definedName>
    <definedName name="_xlnm.Print_Area" localSheetId="44">'$ 11.02.11'!$A$1:$G$11</definedName>
    <definedName name="_xlnm.Print_Area" localSheetId="5">'$ 11.03.11'!$A$1:$G$19</definedName>
    <definedName name="_xlnm.Print_Area" localSheetId="21">'$ 11.11.11'!$A$1:$H$43</definedName>
    <definedName name="_xlnm.Print_Area" localSheetId="50">'$ 14.04.12'!$A$1:$G$12</definedName>
    <definedName name="_xlnm.Print_Area" localSheetId="15">'$ 15,04,11 '!$A$1:$G$29</definedName>
    <definedName name="_xlnm.Print_Area" localSheetId="31">'$ 16.12.11 '!$A$1:$G$10</definedName>
    <definedName name="_xlnm.Print_Area" localSheetId="41">'$ 17.02.12'!$A$1:$G$12</definedName>
    <definedName name="_xlnm.Print_Area" localSheetId="7">'$ 18.03.11'!$A$47:$G$59</definedName>
    <definedName name="_xlnm.Print_Area" localSheetId="23">'$ 18.11.11'!$A$1:$G$16</definedName>
    <definedName name="_xlnm.Print_Area" localSheetId="52">'$ 21.04.12'!$A$1:$G$14</definedName>
    <definedName name="_xlnm.Print_Area" localSheetId="17">'$ 22,04,11'!$A$1:$G$29</definedName>
    <definedName name="_xlnm.Print_Area" localSheetId="33">'$ 23.12.11'!$A$1:$G$13</definedName>
    <definedName name="_xlnm.Print_Area" localSheetId="43">'$ 24.02.12'!$A$1:$G$12</definedName>
    <definedName name="_xlnm.Print_Area" localSheetId="1">'$ 25.02.11'!$A$1:$G$17</definedName>
    <definedName name="_xlnm.Print_Area" localSheetId="8">'$ 25.03.11'!$A$1:$G$14</definedName>
    <definedName name="_xlnm.Print_Area" localSheetId="25">'$ 25.11.11'!$A$1:$G$15</definedName>
    <definedName name="_xlnm.Print_Area" localSheetId="54">'$ 28.04.12'!$A$1:$G$12</definedName>
    <definedName name="_xlnm.Print_Area" localSheetId="46">'$ 30.03.12'!$A$50:$G$66</definedName>
    <definedName name="_xlnm.Print_Area" localSheetId="35">'$ 30.12.11 '!$A$1:$G$10</definedName>
    <definedName name="_xlnm.Print_Area" localSheetId="26">'SL 02.12.11 '!$A$1:$G$27</definedName>
    <definedName name="_xlnm.Print_Area" localSheetId="36">'SL 03.02.12'!$A$1:$G$22</definedName>
    <definedName name="_xlnm.Print_Area" localSheetId="18">'SL 04.11.11'!$A$18:$G$31</definedName>
    <definedName name="_xlnm.Print_Area" localSheetId="47">'SL 07.04.12'!$A$1:$G$10</definedName>
    <definedName name="_xlnm.Print_Area" localSheetId="28">'SL 09.12.11 '!$A$1:$G$27</definedName>
    <definedName name="_xlnm.Print_Area" localSheetId="38">'SL 10.02.12'!$A$1:$G$20</definedName>
    <definedName name="_xlnm.Print_Area" localSheetId="20">'SL 11.11.11'!$A$1:$G$71</definedName>
    <definedName name="_xlnm.Print_Area" localSheetId="49">'SL 14.04.12'!$A$56:$G$68</definedName>
    <definedName name="_xlnm.Print_Area" localSheetId="14">'SL 15,04,11'!$A$1:$G$61</definedName>
    <definedName name="_xlnm.Print_Area" localSheetId="30">'SL 16.12.11  '!$A$1:$G$21</definedName>
    <definedName name="_xlnm.Print_Area" localSheetId="40">'SL 17.02.12'!$A$1:$G$21</definedName>
    <definedName name="_xlnm.Print_Area" localSheetId="22">'SL 18.11.11'!$A$1:$G$36</definedName>
    <definedName name="_xlnm.Print_Area" localSheetId="51">'SL 21.04.12'!$A$1:$G$15</definedName>
    <definedName name="_xlnm.Print_Area" localSheetId="16">'SL 22,04,11 '!$A$1:$G$59</definedName>
    <definedName name="_xlnm.Print_Area" localSheetId="32">'SL 23.12.11'!$A$1:$G$18</definedName>
    <definedName name="_xlnm.Print_Area" localSheetId="42">'SL 24.02.12'!$A$1:$G$23</definedName>
    <definedName name="_xlnm.Print_Area" localSheetId="24">'SL 25.11.11'!$A$1:$G$25</definedName>
    <definedName name="_xlnm.Print_Area" localSheetId="45">'SL 30.03.12'!$A$66:$G$83</definedName>
    <definedName name="_xlnm.Print_Area" localSheetId="34">'SL 30.12.11'!$A$1:$G$26</definedName>
    <definedName name="_xlnm.Print_Area" localSheetId="2">'SL,04,03,11'!$A$74:$G$86</definedName>
    <definedName name="_xlnm.Print_Area" localSheetId="4">'SL,11,03,11'!$A$1:$G$34</definedName>
    <definedName name="_xlnm.Print_Area" localSheetId="6">'SL,18,03,11'!$A$85:$G$99</definedName>
    <definedName name="_xlnm.Print_Area" localSheetId="0">'SL,25,02,11'!$A$1:$G$33</definedName>
    <definedName name="_xlnm.Print_Area" localSheetId="10">'SL. 01,04,11'!$A$102:$G$117</definedName>
    <definedName name="_xlnm.Print_Area" localSheetId="12">'SL. 08,04,11 '!$A$1:$G$30</definedName>
  </definedNames>
  <calcPr calcId="152511"/>
</workbook>
</file>

<file path=xl/calcChain.xml><?xml version="1.0" encoding="utf-8"?>
<calcChain xmlns="http://schemas.openxmlformats.org/spreadsheetml/2006/main">
  <c r="D14" i="66" l="1"/>
  <c r="D13" i="66"/>
  <c r="D12" i="66"/>
  <c r="K18" i="66"/>
  <c r="D17" i="66"/>
  <c r="D16" i="66"/>
  <c r="L14" i="66"/>
  <c r="M14" i="66" s="1"/>
  <c r="K32" i="65"/>
  <c r="L30" i="65"/>
  <c r="M30" i="65" s="1"/>
  <c r="L29" i="65"/>
  <c r="M29" i="65" s="1"/>
  <c r="D27" i="65"/>
  <c r="L25" i="65"/>
  <c r="M25" i="65" s="1"/>
  <c r="L24" i="65"/>
  <c r="M24" i="65" s="1"/>
  <c r="L23" i="65"/>
  <c r="M23" i="65" s="1"/>
  <c r="L22" i="65"/>
  <c r="M22" i="65" s="1"/>
  <c r="L21" i="65"/>
  <c r="M21" i="65" s="1"/>
  <c r="L20" i="65"/>
  <c r="M20" i="65" s="1"/>
  <c r="L19" i="65"/>
  <c r="M19" i="65" s="1"/>
  <c r="L18" i="65"/>
  <c r="M18" i="65" s="1"/>
  <c r="L17" i="65"/>
  <c r="M17" i="65" s="1"/>
  <c r="L16" i="65"/>
  <c r="M16" i="65" s="1"/>
  <c r="L15" i="65"/>
  <c r="M15" i="65" s="1"/>
  <c r="L14" i="65"/>
  <c r="M14" i="65" s="1"/>
  <c r="D15" i="65"/>
  <c r="D16" i="65"/>
  <c r="D17" i="65"/>
  <c r="D18" i="65"/>
  <c r="D19" i="65"/>
  <c r="D20" i="65"/>
  <c r="D21" i="65"/>
  <c r="D22" i="65"/>
  <c r="D23" i="65"/>
  <c r="D24" i="65"/>
  <c r="D25" i="65"/>
  <c r="D14" i="65"/>
  <c r="D13" i="65"/>
  <c r="D9" i="65" l="1"/>
  <c r="D8" i="65"/>
  <c r="L11" i="65"/>
  <c r="M11" i="65" s="1"/>
  <c r="M10" i="65"/>
  <c r="L10" i="65"/>
  <c r="D28" i="65"/>
  <c r="D29" i="65"/>
  <c r="D30" i="65"/>
  <c r="D11" i="65"/>
  <c r="K16" i="64" l="1"/>
  <c r="D15" i="64"/>
  <c r="D14" i="64"/>
  <c r="D13" i="64"/>
  <c r="D12" i="64"/>
  <c r="K27" i="63"/>
  <c r="D25" i="63"/>
  <c r="D23" i="63"/>
  <c r="L10" i="66" l="1"/>
  <c r="M10" i="66" s="1"/>
  <c r="L9" i="66"/>
  <c r="M9" i="66" s="1"/>
  <c r="L14" i="63"/>
  <c r="M14" i="63" s="1"/>
  <c r="L12" i="63"/>
  <c r="M12" i="63" s="1"/>
  <c r="L11" i="63"/>
  <c r="M11" i="63" s="1"/>
  <c r="M9" i="63"/>
  <c r="L9" i="63"/>
  <c r="K12" i="60" l="1"/>
  <c r="K18" i="59"/>
  <c r="L13" i="59"/>
  <c r="M13" i="59" s="1"/>
  <c r="M7" i="59"/>
  <c r="L7" i="59"/>
  <c r="K27" i="57" l="1"/>
  <c r="K29" i="58"/>
  <c r="L22" i="58"/>
  <c r="M22" i="58" s="1"/>
  <c r="D25" i="58"/>
  <c r="D26" i="58"/>
  <c r="D27" i="58"/>
  <c r="D28" i="58"/>
  <c r="L18" i="58"/>
  <c r="M18" i="58" s="1"/>
  <c r="L16" i="58"/>
  <c r="M16" i="58" s="1"/>
  <c r="D20" i="58"/>
  <c r="D21" i="58"/>
  <c r="D22" i="58"/>
  <c r="D24" i="58"/>
  <c r="L18" i="57"/>
  <c r="M18" i="57" s="1"/>
  <c r="D20" i="57"/>
  <c r="D21" i="57"/>
  <c r="D23" i="57"/>
  <c r="D25" i="57"/>
  <c r="D18" i="57"/>
  <c r="D17" i="57"/>
  <c r="D16" i="57"/>
  <c r="D10" i="57"/>
  <c r="D9" i="57"/>
  <c r="L8" i="58"/>
  <c r="M8" i="58" s="1"/>
  <c r="L14" i="57"/>
  <c r="M14" i="57" s="1"/>
  <c r="L12" i="57"/>
  <c r="M12" i="57" s="1"/>
  <c r="D8" i="66" l="1"/>
  <c r="D16" i="63"/>
  <c r="D18" i="58"/>
  <c r="D9" i="60" l="1"/>
  <c r="D10" i="60"/>
  <c r="D11" i="60"/>
  <c r="D10" i="64" l="1"/>
  <c r="D15" i="59" l="1"/>
  <c r="D16" i="59"/>
  <c r="D17" i="59"/>
  <c r="D16" i="58"/>
  <c r="D10" i="58" l="1"/>
  <c r="D11" i="58"/>
  <c r="D12" i="58"/>
  <c r="D14" i="58"/>
  <c r="D15" i="58"/>
  <c r="D18" i="63" l="1"/>
  <c r="D17" i="63"/>
  <c r="D11" i="59" l="1"/>
  <c r="D14" i="63" l="1"/>
  <c r="D9" i="64"/>
  <c r="D11" i="64"/>
  <c r="D12" i="63" l="1"/>
  <c r="D11" i="63"/>
  <c r="D9" i="63" l="1"/>
  <c r="D8" i="63"/>
  <c r="D7" i="63"/>
  <c r="D12" i="59"/>
  <c r="D13" i="59"/>
  <c r="D10" i="66"/>
  <c r="D9" i="66"/>
  <c r="D10" i="65"/>
  <c r="D7" i="65"/>
  <c r="D8" i="60" l="1"/>
  <c r="D8" i="64" l="1"/>
  <c r="D10" i="59"/>
  <c r="D9" i="59"/>
  <c r="D7" i="59"/>
  <c r="D8" i="58" l="1"/>
  <c r="D14" i="57" l="1"/>
  <c r="D12" i="57"/>
  <c r="D11" i="57"/>
  <c r="D8" i="57"/>
  <c r="D8" i="13" l="1"/>
  <c r="D9" i="13"/>
  <c r="D10" i="13"/>
  <c r="D11" i="13"/>
  <c r="D12" i="13"/>
  <c r="G12" i="13"/>
  <c r="G19" i="13" s="1"/>
  <c r="D13" i="13"/>
  <c r="D16" i="13"/>
  <c r="D17" i="13"/>
  <c r="D18" i="13"/>
  <c r="G36" i="13"/>
  <c r="D48" i="13"/>
  <c r="D49" i="13"/>
  <c r="G50" i="13"/>
  <c r="D8" i="29"/>
  <c r="D9" i="29"/>
  <c r="G10" i="29"/>
  <c r="G25" i="29"/>
  <c r="G27" i="29" s="1"/>
  <c r="G39" i="29"/>
  <c r="D8" i="39"/>
  <c r="D9" i="39"/>
  <c r="D10" i="39"/>
  <c r="D11" i="39"/>
  <c r="D12" i="39"/>
  <c r="D13" i="39"/>
  <c r="D14" i="39"/>
  <c r="D15" i="39"/>
  <c r="D16" i="39"/>
  <c r="G17" i="39"/>
  <c r="D8" i="5"/>
  <c r="D9" i="5"/>
  <c r="D10" i="5"/>
  <c r="D11" i="5"/>
  <c r="D12" i="5"/>
  <c r="D13" i="5"/>
  <c r="G14" i="5"/>
  <c r="G24" i="5"/>
  <c r="G25" i="5"/>
  <c r="G50" i="5"/>
  <c r="G9" i="21"/>
  <c r="D8" i="50"/>
  <c r="D9" i="50"/>
  <c r="D10" i="50"/>
  <c r="D11" i="50"/>
  <c r="D12" i="50"/>
  <c r="G13" i="50"/>
  <c r="G29" i="50"/>
  <c r="G42" i="50"/>
  <c r="G64" i="50"/>
  <c r="D8" i="15"/>
  <c r="G8" i="15"/>
  <c r="G9" i="15" s="1"/>
  <c r="G24" i="15"/>
  <c r="D38" i="15"/>
  <c r="D39" i="15"/>
  <c r="G39" i="15"/>
  <c r="D40" i="15"/>
  <c r="D41" i="15"/>
  <c r="D42" i="15"/>
  <c r="G43" i="15"/>
  <c r="D60" i="15"/>
  <c r="G61" i="15"/>
  <c r="D8" i="31"/>
  <c r="D9" i="31"/>
  <c r="D10" i="31"/>
  <c r="D11" i="31"/>
  <c r="G12" i="31"/>
  <c r="G24" i="31"/>
  <c r="G35" i="31"/>
  <c r="G50" i="31"/>
  <c r="G51" i="31" s="1"/>
  <c r="G9" i="41"/>
  <c r="G20" i="41"/>
  <c r="G23" i="41"/>
  <c r="G35" i="41"/>
  <c r="D8" i="46"/>
  <c r="D9" i="46"/>
  <c r="D10" i="46"/>
  <c r="G11" i="46"/>
  <c r="G31" i="46"/>
  <c r="G37" i="46"/>
  <c r="G55" i="46"/>
  <c r="D8" i="7"/>
  <c r="D9" i="7"/>
  <c r="D10" i="7"/>
  <c r="D11" i="7"/>
  <c r="D14" i="7"/>
  <c r="D15" i="7"/>
  <c r="D16" i="7"/>
  <c r="D17" i="7"/>
  <c r="D18" i="7"/>
  <c r="G19" i="7"/>
  <c r="G38" i="7"/>
  <c r="G40" i="7"/>
  <c r="G55" i="7"/>
  <c r="D8" i="23"/>
  <c r="G8" i="23"/>
  <c r="G10" i="23"/>
  <c r="D9" i="23"/>
  <c r="G24" i="23"/>
  <c r="G43" i="23"/>
  <c r="G59" i="23"/>
  <c r="D8" i="52"/>
  <c r="D9" i="52"/>
  <c r="D10" i="52"/>
  <c r="D11" i="52"/>
  <c r="G12" i="52"/>
  <c r="G26" i="52"/>
  <c r="G31" i="52"/>
  <c r="G46" i="52"/>
  <c r="G68" i="52"/>
  <c r="D8" i="17"/>
  <c r="D9" i="17"/>
  <c r="D10" i="17"/>
  <c r="D11" i="17"/>
  <c r="D12" i="17"/>
  <c r="D13" i="17"/>
  <c r="D14" i="17"/>
  <c r="G15" i="17"/>
  <c r="G29" i="17"/>
  <c r="D43" i="17"/>
  <c r="G44" i="17"/>
  <c r="D8" i="33"/>
  <c r="G8" i="33"/>
  <c r="D9" i="33"/>
  <c r="G10" i="33"/>
  <c r="G24" i="33"/>
  <c r="D8" i="43"/>
  <c r="D9" i="43"/>
  <c r="D10" i="43"/>
  <c r="D11" i="43"/>
  <c r="G12" i="43"/>
  <c r="G26" i="43"/>
  <c r="D8" i="9"/>
  <c r="D9" i="9"/>
  <c r="D10" i="9"/>
  <c r="D11" i="9"/>
  <c r="D12" i="9"/>
  <c r="G15" i="9"/>
  <c r="G27" i="9"/>
  <c r="G29" i="9" s="1"/>
  <c r="G42" i="9"/>
  <c r="G59" i="9"/>
  <c r="G72" i="9"/>
  <c r="D8" i="25"/>
  <c r="D9" i="25"/>
  <c r="D10" i="25"/>
  <c r="G10" i="25"/>
  <c r="D11" i="25"/>
  <c r="G11" i="25"/>
  <c r="G16" i="25" s="1"/>
  <c r="D12" i="25"/>
  <c r="D13" i="25"/>
  <c r="D14" i="25"/>
  <c r="D15" i="25"/>
  <c r="G32" i="25"/>
  <c r="D8" i="54"/>
  <c r="D9" i="54"/>
  <c r="D10" i="54"/>
  <c r="G10" i="54"/>
  <c r="D11" i="54"/>
  <c r="G11" i="54"/>
  <c r="D12" i="54"/>
  <c r="G12" i="54"/>
  <c r="D13" i="54"/>
  <c r="G13" i="54"/>
  <c r="G26" i="54"/>
  <c r="G27" i="54"/>
  <c r="G36" i="54"/>
  <c r="G34" i="54"/>
  <c r="G51" i="54"/>
  <c r="G73" i="54"/>
  <c r="D8" i="19"/>
  <c r="D9" i="19"/>
  <c r="D10" i="19"/>
  <c r="D11" i="19"/>
  <c r="D12" i="19"/>
  <c r="G14" i="19"/>
  <c r="G26" i="19"/>
  <c r="G27" i="19"/>
  <c r="G29" i="19"/>
  <c r="D49" i="19"/>
  <c r="G50" i="19"/>
  <c r="D8" i="35"/>
  <c r="G8" i="35"/>
  <c r="D9" i="35"/>
  <c r="G9" i="35"/>
  <c r="D10" i="35"/>
  <c r="D11" i="35"/>
  <c r="G11" i="35"/>
  <c r="D12" i="35"/>
  <c r="G12" i="35"/>
  <c r="G13" i="35"/>
  <c r="G26" i="35"/>
  <c r="G33" i="35" s="1"/>
  <c r="G29" i="35"/>
  <c r="D8" i="45"/>
  <c r="D9" i="45"/>
  <c r="D10" i="45"/>
  <c r="H10" i="45"/>
  <c r="D11" i="45"/>
  <c r="G11" i="45"/>
  <c r="G12" i="45"/>
  <c r="G29" i="45"/>
  <c r="D8" i="3"/>
  <c r="D9" i="3"/>
  <c r="D10" i="3"/>
  <c r="D11" i="3"/>
  <c r="D12" i="3"/>
  <c r="D13" i="3"/>
  <c r="D14" i="3"/>
  <c r="D15" i="3"/>
  <c r="D16" i="3"/>
  <c r="G17" i="3"/>
  <c r="G35" i="3"/>
  <c r="G37" i="3"/>
  <c r="G39" i="3"/>
  <c r="G38" i="3"/>
  <c r="D8" i="10"/>
  <c r="D9" i="10"/>
  <c r="D10" i="10"/>
  <c r="D11" i="10"/>
  <c r="D12" i="10"/>
  <c r="D13" i="10"/>
  <c r="G13" i="10"/>
  <c r="G14" i="10" s="1"/>
  <c r="G31" i="10"/>
  <c r="G32" i="10"/>
  <c r="G36" i="10"/>
  <c r="G49" i="10" s="1"/>
  <c r="G37" i="10"/>
  <c r="G38" i="10"/>
  <c r="G39" i="10"/>
  <c r="G61" i="10"/>
  <c r="D70" i="10"/>
  <c r="G86" i="10"/>
  <c r="D8" i="27"/>
  <c r="D9" i="27"/>
  <c r="D10" i="27"/>
  <c r="D11" i="27"/>
  <c r="D12" i="27"/>
  <c r="D13" i="27"/>
  <c r="D14" i="27"/>
  <c r="G15" i="27"/>
  <c r="G31" i="27"/>
  <c r="D8" i="56"/>
  <c r="D9" i="56"/>
  <c r="D10" i="56"/>
  <c r="D11" i="56"/>
  <c r="G12" i="56"/>
  <c r="G26" i="56"/>
  <c r="G39" i="56"/>
  <c r="G61" i="56"/>
  <c r="D8" i="48"/>
  <c r="D9" i="48"/>
  <c r="D10" i="48"/>
  <c r="D11" i="48"/>
  <c r="D12" i="48"/>
  <c r="D13" i="48"/>
  <c r="D14" i="48"/>
  <c r="D15" i="48"/>
  <c r="G16" i="48"/>
  <c r="G31" i="48"/>
  <c r="G44" i="48"/>
  <c r="D62" i="48"/>
  <c r="D63" i="48"/>
  <c r="G63" i="48"/>
  <c r="D64" i="48"/>
  <c r="G64" i="48"/>
  <c r="G66" i="48" s="1"/>
  <c r="D65" i="48"/>
  <c r="G65" i="48"/>
  <c r="D8" i="37"/>
  <c r="D9" i="37"/>
  <c r="G10" i="37"/>
  <c r="G25" i="37"/>
  <c r="G27" i="37"/>
  <c r="G26" i="37"/>
  <c r="G49" i="37"/>
  <c r="D8" i="28"/>
  <c r="D9" i="28"/>
  <c r="D10" i="28"/>
  <c r="D11" i="28"/>
  <c r="D12" i="28"/>
  <c r="D13" i="28"/>
  <c r="D14" i="28"/>
  <c r="G14" i="28"/>
  <c r="D15" i="28"/>
  <c r="G15" i="28"/>
  <c r="D16" i="28"/>
  <c r="G16" i="28"/>
  <c r="D17" i="28"/>
  <c r="G17" i="28"/>
  <c r="D18" i="28"/>
  <c r="D19" i="28"/>
  <c r="G19" i="28"/>
  <c r="D20" i="28"/>
  <c r="D21" i="28"/>
  <c r="D22" i="28"/>
  <c r="G22" i="28"/>
  <c r="D23" i="28"/>
  <c r="D25" i="28"/>
  <c r="D26" i="28"/>
  <c r="G38" i="28"/>
  <c r="G39" i="28"/>
  <c r="G41" i="28"/>
  <c r="G43" i="28"/>
  <c r="G45" i="28"/>
  <c r="G46" i="28"/>
  <c r="G51" i="28"/>
  <c r="G52" i="28"/>
  <c r="G53" i="28"/>
  <c r="G67" i="28"/>
  <c r="G68" i="28" s="1"/>
  <c r="H68" i="28"/>
  <c r="D79" i="28"/>
  <c r="G80" i="28"/>
  <c r="D8" i="38"/>
  <c r="D9" i="38"/>
  <c r="D10" i="38"/>
  <c r="D11" i="38"/>
  <c r="D12" i="38"/>
  <c r="D13" i="38"/>
  <c r="D14" i="38"/>
  <c r="D15" i="38"/>
  <c r="D16" i="38"/>
  <c r="D17" i="38"/>
  <c r="D19" i="38"/>
  <c r="D20" i="38"/>
  <c r="D21" i="38"/>
  <c r="G22" i="38"/>
  <c r="G33" i="38"/>
  <c r="G34" i="38"/>
  <c r="G41" i="38"/>
  <c r="G42" i="38"/>
  <c r="G43" i="38"/>
  <c r="G44" i="38"/>
  <c r="G48" i="38"/>
  <c r="G62" i="38"/>
  <c r="H62" i="38"/>
  <c r="D76" i="38"/>
  <c r="D77" i="38"/>
  <c r="D78" i="38"/>
  <c r="D79" i="38"/>
  <c r="D80" i="38"/>
  <c r="D81" i="38"/>
  <c r="D82" i="38"/>
  <c r="D83" i="38"/>
  <c r="D84" i="38"/>
  <c r="G85" i="38"/>
  <c r="G97" i="38"/>
  <c r="G98" i="38"/>
  <c r="G99" i="38" s="1"/>
  <c r="D8" i="20"/>
  <c r="G8" i="20"/>
  <c r="D9" i="20"/>
  <c r="G9" i="20"/>
  <c r="D10" i="20"/>
  <c r="G10" i="20"/>
  <c r="D11" i="20"/>
  <c r="D12" i="20"/>
  <c r="D13" i="20"/>
  <c r="D14" i="20"/>
  <c r="G15" i="20"/>
  <c r="D29" i="20"/>
  <c r="G30" i="20"/>
  <c r="D8" i="49"/>
  <c r="D9" i="49"/>
  <c r="G10" i="49"/>
  <c r="G23" i="49"/>
  <c r="G27" i="49"/>
  <c r="G29" i="49"/>
  <c r="G42" i="49"/>
  <c r="H42" i="49"/>
  <c r="G61" i="49"/>
  <c r="D8" i="30"/>
  <c r="D9" i="30"/>
  <c r="D10" i="30"/>
  <c r="D11" i="30"/>
  <c r="G11" i="30"/>
  <c r="D12" i="30"/>
  <c r="G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G24" i="30"/>
  <c r="D25" i="30"/>
  <c r="G25" i="30"/>
  <c r="D26" i="30"/>
  <c r="G26" i="30"/>
  <c r="G27" i="30"/>
  <c r="G46" i="30"/>
  <c r="D8" i="40"/>
  <c r="D9" i="40"/>
  <c r="D10" i="40"/>
  <c r="D11" i="40"/>
  <c r="D12" i="40"/>
  <c r="D17" i="40"/>
  <c r="D18" i="40"/>
  <c r="D19" i="40"/>
  <c r="G19" i="40"/>
  <c r="G20" i="40"/>
  <c r="D23" i="40"/>
  <c r="G33" i="40"/>
  <c r="G34" i="40"/>
  <c r="G35" i="40"/>
  <c r="G36" i="40"/>
  <c r="G37" i="40"/>
  <c r="G38" i="40"/>
  <c r="G40" i="40"/>
  <c r="G44" i="40" s="1"/>
  <c r="D8" i="22"/>
  <c r="D9" i="22"/>
  <c r="D10" i="22"/>
  <c r="D11" i="22"/>
  <c r="G11" i="22"/>
  <c r="D12" i="22"/>
  <c r="D13" i="22"/>
  <c r="G13" i="22"/>
  <c r="G20" i="22" s="1"/>
  <c r="D14" i="22"/>
  <c r="D15" i="22"/>
  <c r="D16" i="22"/>
  <c r="D17" i="22"/>
  <c r="D18" i="22"/>
  <c r="D19" i="22"/>
  <c r="G33" i="22"/>
  <c r="G34" i="22"/>
  <c r="G57" i="22"/>
  <c r="G71" i="22"/>
  <c r="D8" i="51"/>
  <c r="D9" i="51"/>
  <c r="D10" i="51"/>
  <c r="D11" i="51"/>
  <c r="D12" i="51"/>
  <c r="G12" i="51"/>
  <c r="D13" i="51"/>
  <c r="G13" i="51"/>
  <c r="D14" i="51"/>
  <c r="G14" i="51"/>
  <c r="D15" i="51"/>
  <c r="G15" i="51"/>
  <c r="D16" i="51"/>
  <c r="D17" i="51"/>
  <c r="D18" i="51"/>
  <c r="G20" i="51"/>
  <c r="G40" i="51"/>
  <c r="G53" i="51"/>
  <c r="H53" i="51"/>
  <c r="D67" i="51"/>
  <c r="G68" i="51"/>
  <c r="D8" i="16"/>
  <c r="G8" i="16"/>
  <c r="D9" i="16"/>
  <c r="G9" i="16"/>
  <c r="D10" i="16"/>
  <c r="G10" i="16"/>
  <c r="D11" i="16"/>
  <c r="G11" i="16"/>
  <c r="D12" i="16"/>
  <c r="G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G26" i="16"/>
  <c r="G50" i="16"/>
  <c r="G61" i="16"/>
  <c r="G80" i="16"/>
  <c r="H80" i="16"/>
  <c r="G102" i="16"/>
  <c r="G119" i="16"/>
  <c r="H119" i="16"/>
  <c r="D8" i="32"/>
  <c r="D9" i="32"/>
  <c r="D10" i="32"/>
  <c r="D11" i="32"/>
  <c r="D12" i="32"/>
  <c r="D13" i="32"/>
  <c r="D14" i="32"/>
  <c r="D15" i="32"/>
  <c r="D16" i="32"/>
  <c r="D17" i="32"/>
  <c r="D18" i="32"/>
  <c r="D19" i="32"/>
  <c r="G19" i="32"/>
  <c r="D20" i="32"/>
  <c r="G20" i="32"/>
  <c r="G21" i="32"/>
  <c r="G33" i="32"/>
  <c r="G35" i="32"/>
  <c r="D8" i="42"/>
  <c r="D9" i="42"/>
  <c r="D10" i="42"/>
  <c r="D11" i="42"/>
  <c r="D12" i="42"/>
  <c r="D13" i="42"/>
  <c r="D14" i="42"/>
  <c r="G14" i="42"/>
  <c r="D15" i="42"/>
  <c r="G15" i="42"/>
  <c r="D16" i="42"/>
  <c r="D17" i="42"/>
  <c r="G17" i="42"/>
  <c r="D18" i="42"/>
  <c r="G18" i="42"/>
  <c r="G35" i="42"/>
  <c r="D50" i="42"/>
  <c r="G51" i="42"/>
  <c r="D8" i="24"/>
  <c r="D9" i="24"/>
  <c r="D10" i="24"/>
  <c r="D11" i="24"/>
  <c r="D12" i="24"/>
  <c r="D13" i="24"/>
  <c r="D14" i="24"/>
  <c r="G14" i="24"/>
  <c r="D15" i="24"/>
  <c r="D16" i="24"/>
  <c r="G16" i="24"/>
  <c r="D17" i="24"/>
  <c r="D18" i="24"/>
  <c r="G18" i="24"/>
  <c r="G20" i="24" s="1"/>
  <c r="D19" i="24"/>
  <c r="G31" i="24"/>
  <c r="G36" i="24"/>
  <c r="G51" i="24"/>
  <c r="G53" i="24" s="1"/>
  <c r="D8" i="53"/>
  <c r="D9" i="53"/>
  <c r="D10" i="53"/>
  <c r="G15" i="53"/>
  <c r="G27" i="53"/>
  <c r="G28" i="53"/>
  <c r="G29" i="53"/>
  <c r="G30" i="53"/>
  <c r="G32" i="53" s="1"/>
  <c r="G31" i="53"/>
  <c r="G45" i="53"/>
  <c r="H45" i="53"/>
  <c r="G60" i="53"/>
  <c r="G71" i="53"/>
  <c r="G72" i="53" s="1"/>
  <c r="D8" i="18"/>
  <c r="D9" i="18"/>
  <c r="D10" i="18"/>
  <c r="D11" i="18"/>
  <c r="G11" i="18"/>
  <c r="D12" i="18"/>
  <c r="G12" i="18"/>
  <c r="D13" i="18"/>
  <c r="G13" i="18"/>
  <c r="D14" i="18"/>
  <c r="D15" i="18"/>
  <c r="D16" i="18"/>
  <c r="D17" i="18"/>
  <c r="D18" i="18"/>
  <c r="D19" i="18"/>
  <c r="D20" i="18"/>
  <c r="D21" i="18"/>
  <c r="D22" i="18"/>
  <c r="G22" i="18"/>
  <c r="D23" i="18"/>
  <c r="D24" i="18"/>
  <c r="G48" i="18"/>
  <c r="G59" i="18"/>
  <c r="G78" i="18"/>
  <c r="H78" i="18"/>
  <c r="D97" i="18"/>
  <c r="D98" i="18"/>
  <c r="G99" i="18"/>
  <c r="G112" i="18"/>
  <c r="G116" i="18"/>
  <c r="G113" i="18"/>
  <c r="D8" i="34"/>
  <c r="D9" i="34"/>
  <c r="D10" i="34"/>
  <c r="D11" i="34"/>
  <c r="D12" i="34"/>
  <c r="D13" i="34"/>
  <c r="G13" i="34"/>
  <c r="G18" i="34" s="1"/>
  <c r="D14" i="34"/>
  <c r="G14" i="34"/>
  <c r="D15" i="34"/>
  <c r="D16" i="34"/>
  <c r="D17" i="34"/>
  <c r="D20" i="34"/>
  <c r="G32" i="34"/>
  <c r="G42" i="34" s="1"/>
  <c r="G38" i="34"/>
  <c r="G41" i="34"/>
  <c r="D8" i="44"/>
  <c r="D9" i="44"/>
  <c r="G9" i="44"/>
  <c r="D10" i="44"/>
  <c r="G10" i="44"/>
  <c r="D11" i="44"/>
  <c r="G11" i="44"/>
  <c r="D12" i="44"/>
  <c r="G12" i="44"/>
  <c r="D13" i="44"/>
  <c r="D14" i="44"/>
  <c r="D15" i="44"/>
  <c r="D16" i="44"/>
  <c r="D17" i="44"/>
  <c r="D18" i="44"/>
  <c r="D19" i="44"/>
  <c r="D21" i="44"/>
  <c r="G21" i="44"/>
  <c r="D22" i="44"/>
  <c r="G22" i="44"/>
  <c r="G23" i="44"/>
  <c r="G34" i="44"/>
  <c r="G39" i="44"/>
  <c r="G41" i="44"/>
  <c r="G42" i="44"/>
  <c r="G59" i="44"/>
  <c r="G60" i="44" s="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G27" i="11"/>
  <c r="G28" i="11"/>
  <c r="D31" i="11"/>
  <c r="G31" i="11"/>
  <c r="D32" i="11"/>
  <c r="G47" i="11"/>
  <c r="G52" i="11" s="1"/>
  <c r="G63" i="11"/>
  <c r="G82" i="11"/>
  <c r="H82" i="11"/>
  <c r="G102" i="11"/>
  <c r="H102" i="11"/>
  <c r="G113" i="11"/>
  <c r="D8" i="26"/>
  <c r="G8" i="26"/>
  <c r="D9" i="26"/>
  <c r="D10" i="26"/>
  <c r="G10" i="26"/>
  <c r="G25" i="26" s="1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G48" i="26"/>
  <c r="G64" i="26"/>
  <c r="H64" i="26"/>
  <c r="G86" i="26"/>
  <c r="G9" i="55"/>
  <c r="G19" i="55"/>
  <c r="G22" i="55"/>
  <c r="G25" i="55"/>
  <c r="G26" i="55"/>
  <c r="G27" i="55"/>
  <c r="G30" i="55"/>
  <c r="G35" i="55"/>
  <c r="G38" i="55"/>
  <c r="G54" i="55"/>
  <c r="H54" i="55"/>
  <c r="G68" i="55"/>
  <c r="G69" i="55" s="1"/>
  <c r="G81" i="55"/>
  <c r="D8" i="47"/>
  <c r="G8" i="47"/>
  <c r="D9" i="47"/>
  <c r="G9" i="47"/>
  <c r="D10" i="47"/>
  <c r="G10" i="47"/>
  <c r="D11" i="47"/>
  <c r="D12" i="47"/>
  <c r="D13" i="47"/>
  <c r="D14" i="47"/>
  <c r="D15" i="47"/>
  <c r="D16" i="47"/>
  <c r="D17" i="47"/>
  <c r="D18" i="47"/>
  <c r="D19" i="47"/>
  <c r="D20" i="47"/>
  <c r="D21" i="47"/>
  <c r="D22" i="47"/>
  <c r="D23" i="47"/>
  <c r="D24" i="47"/>
  <c r="D25" i="47"/>
  <c r="G26" i="47"/>
  <c r="G39" i="47"/>
  <c r="G40" i="47"/>
  <c r="G41" i="47"/>
  <c r="G42" i="47"/>
  <c r="G43" i="47"/>
  <c r="G44" i="47"/>
  <c r="G63" i="47"/>
  <c r="H63" i="47"/>
  <c r="D77" i="47"/>
  <c r="D78" i="47"/>
  <c r="D79" i="47"/>
  <c r="D80" i="47"/>
  <c r="D81" i="47"/>
  <c r="G82" i="47"/>
  <c r="D8" i="36"/>
  <c r="G8" i="36"/>
  <c r="D9" i="36"/>
  <c r="D10" i="36"/>
  <c r="D11" i="36"/>
  <c r="G11" i="36"/>
  <c r="D12" i="36"/>
  <c r="G12" i="36"/>
  <c r="D13" i="36"/>
  <c r="G13" i="36"/>
  <c r="D14" i="36"/>
  <c r="D15" i="36"/>
  <c r="D16" i="36"/>
  <c r="D17" i="36"/>
  <c r="D18" i="36"/>
  <c r="D19" i="36"/>
  <c r="D20" i="36"/>
  <c r="D21" i="36"/>
  <c r="D22" i="36"/>
  <c r="D23" i="36"/>
  <c r="D24" i="36"/>
  <c r="D25" i="36"/>
  <c r="G26" i="36"/>
  <c r="G41" i="36"/>
  <c r="G44" i="36"/>
  <c r="G47" i="36" s="1"/>
  <c r="G46" i="36"/>
  <c r="G66" i="36"/>
  <c r="G67" i="36"/>
  <c r="D8" i="4"/>
  <c r="D9" i="4"/>
  <c r="D10" i="4"/>
  <c r="D11" i="4"/>
  <c r="D12" i="4"/>
  <c r="D13" i="4"/>
  <c r="D14" i="4"/>
  <c r="D15" i="4"/>
  <c r="G15" i="4"/>
  <c r="G17" i="4" s="1"/>
  <c r="D16" i="4"/>
  <c r="G29" i="4"/>
  <c r="G31" i="4"/>
  <c r="G32" i="4"/>
  <c r="G33" i="4"/>
  <c r="G34" i="4"/>
  <c r="G47" i="4"/>
  <c r="G48" i="4"/>
  <c r="G64" i="4"/>
  <c r="G66" i="4"/>
  <c r="H70" i="4"/>
  <c r="D85" i="4"/>
  <c r="G86" i="4"/>
  <c r="G101" i="4"/>
  <c r="D8" i="6"/>
  <c r="D9" i="6"/>
  <c r="D10" i="6"/>
  <c r="D11" i="6"/>
  <c r="D12" i="6"/>
  <c r="D13" i="6"/>
  <c r="D14" i="6"/>
  <c r="D15" i="6"/>
  <c r="D16" i="6"/>
  <c r="G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G34" i="6"/>
  <c r="G57" i="6"/>
  <c r="G65" i="6" s="1"/>
  <c r="G79" i="6"/>
  <c r="G104" i="6"/>
  <c r="H104" i="6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G29" i="8"/>
  <c r="G41" i="8"/>
  <c r="G46" i="8"/>
  <c r="G58" i="8"/>
  <c r="G77" i="8"/>
  <c r="G82" i="8" s="1"/>
  <c r="G78" i="8"/>
  <c r="G79" i="8"/>
  <c r="G80" i="8"/>
  <c r="G81" i="8"/>
  <c r="H82" i="8"/>
  <c r="D96" i="8"/>
  <c r="D97" i="8"/>
  <c r="G98" i="8"/>
  <c r="G115" i="8"/>
  <c r="H115" i="8"/>
  <c r="G128" i="8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5" i="2"/>
  <c r="D26" i="2"/>
  <c r="D27" i="2"/>
  <c r="D28" i="2"/>
  <c r="D29" i="2"/>
  <c r="D30" i="2"/>
  <c r="D31" i="2"/>
  <c r="D32" i="2"/>
  <c r="G33" i="2"/>
  <c r="G49" i="2"/>
  <c r="G51" i="2"/>
  <c r="G56" i="2"/>
  <c r="G61" i="2"/>
  <c r="G64" i="2"/>
  <c r="G76" i="2"/>
  <c r="G77" i="2"/>
  <c r="G93" i="2"/>
  <c r="G95" i="2"/>
  <c r="G102" i="2" s="1"/>
  <c r="G97" i="2"/>
  <c r="H102" i="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G23" i="12"/>
  <c r="G32" i="12" s="1"/>
  <c r="D24" i="12"/>
  <c r="G24" i="12"/>
  <c r="D25" i="12"/>
  <c r="D26" i="12"/>
  <c r="D27" i="12"/>
  <c r="D28" i="12"/>
  <c r="D29" i="12"/>
  <c r="D30" i="12"/>
  <c r="D31" i="12"/>
  <c r="G43" i="12"/>
  <c r="G63" i="12"/>
  <c r="D75" i="12"/>
  <c r="G75" i="12"/>
  <c r="G76" i="12"/>
  <c r="G98" i="12"/>
  <c r="H98" i="12"/>
  <c r="D113" i="12"/>
  <c r="D114" i="12"/>
  <c r="D115" i="12"/>
  <c r="D116" i="12"/>
  <c r="G117" i="12"/>
  <c r="G131" i="12"/>
  <c r="D8" i="14"/>
  <c r="D9" i="14"/>
  <c r="D10" i="14"/>
  <c r="G11" i="14"/>
  <c r="G30" i="14"/>
  <c r="D41" i="14"/>
  <c r="G42" i="14"/>
  <c r="G62" i="14"/>
  <c r="H62" i="14"/>
  <c r="D77" i="14"/>
  <c r="D78" i="14"/>
  <c r="D79" i="14"/>
  <c r="G80" i="14"/>
  <c r="G95" i="14"/>
  <c r="G106" i="14"/>
  <c r="G119" i="14"/>
  <c r="H119" i="14"/>
  <c r="G39" i="55" l="1"/>
  <c r="G36" i="32"/>
  <c r="G41" i="22"/>
  <c r="G54" i="28"/>
  <c r="G14" i="54"/>
  <c r="G32" i="5"/>
  <c r="G37" i="4"/>
  <c r="G45" i="47"/>
  <c r="G49" i="38"/>
  <c r="G70" i="4"/>
  <c r="G26" i="18"/>
  <c r="G21" i="42"/>
  <c r="G27" i="28"/>
</calcChain>
</file>

<file path=xl/comments1.xml><?xml version="1.0" encoding="utf-8"?>
<comments xmlns="http://schemas.openxmlformats.org/spreadsheetml/2006/main">
  <authors>
    <author/>
  </authors>
  <commentList>
    <comment ref="D99" authorId="0" shapeId="0">
      <text>
        <r>
          <rPr>
            <b/>
            <sz val="8"/>
            <color indexed="8"/>
            <rFont val="Tahoma"/>
            <family val="2"/>
            <charset val="1"/>
          </rPr>
          <t xml:space="preserve">Yanine Caycho:
</t>
        </r>
        <r>
          <rPr>
            <sz val="8"/>
            <color indexed="8"/>
            <rFont val="Tahoma"/>
            <family val="2"/>
            <charset val="1"/>
          </rPr>
          <t>24,03,11</t>
        </r>
      </text>
    </comment>
    <comment ref="D100" authorId="0" shapeId="0">
      <text>
        <r>
          <rPr>
            <b/>
            <sz val="8"/>
            <color indexed="8"/>
            <rFont val="Tahoma"/>
            <family val="2"/>
            <charset val="1"/>
          </rPr>
          <t xml:space="preserve">Yanine Caycho:
</t>
        </r>
        <r>
          <rPr>
            <sz val="8"/>
            <color indexed="8"/>
            <rFont val="Tahoma"/>
            <family val="2"/>
            <charset val="1"/>
          </rPr>
          <t>27,03,11</t>
        </r>
      </text>
    </comment>
    <comment ref="D101" authorId="0" shapeId="0">
      <text>
        <r>
          <rPr>
            <b/>
            <sz val="8"/>
            <color indexed="8"/>
            <rFont val="Tahoma"/>
            <family val="2"/>
            <charset val="1"/>
          </rPr>
          <t xml:space="preserve">Yanine Caycho:
</t>
        </r>
        <r>
          <rPr>
            <sz val="8"/>
            <color indexed="8"/>
            <rFont val="Tahoma"/>
            <family val="2"/>
            <charset val="1"/>
          </rPr>
          <t>27,03,11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D51" authorId="0" shapeId="0">
      <text>
        <r>
          <rPr>
            <b/>
            <sz val="8"/>
            <color indexed="8"/>
            <rFont val="Tahoma"/>
            <family val="2"/>
            <charset val="1"/>
          </rPr>
          <t xml:space="preserve">Yanine Caycho:
</t>
        </r>
        <r>
          <rPr>
            <sz val="8"/>
            <color indexed="8"/>
            <rFont val="Tahoma"/>
            <family val="2"/>
            <charset val="1"/>
          </rPr>
          <t>28.05.12</t>
        </r>
      </text>
    </comment>
    <comment ref="D53" authorId="0" shapeId="0">
      <text>
        <r>
          <rPr>
            <b/>
            <sz val="8"/>
            <color indexed="8"/>
            <rFont val="Tahoma"/>
            <family val="2"/>
            <charset val="1"/>
          </rPr>
          <t xml:space="preserve">Yanine Caycho:
</t>
        </r>
        <r>
          <rPr>
            <sz val="8"/>
            <color indexed="8"/>
            <rFont val="Tahoma"/>
            <family val="2"/>
            <charset val="1"/>
          </rPr>
          <t xml:space="preserve">2434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16" authorId="0" shapeId="0">
      <text>
        <r>
          <rPr>
            <b/>
            <sz val="8"/>
            <color indexed="8"/>
            <rFont val="Tahoma"/>
            <family val="2"/>
            <charset val="1"/>
          </rPr>
          <t xml:space="preserve">Yanine Caycho:
</t>
        </r>
        <r>
          <rPr>
            <sz val="8"/>
            <color indexed="8"/>
            <rFont val="Tahoma"/>
            <family val="2"/>
            <charset val="1"/>
          </rPr>
          <t>DEVUELTO EL 01-3-11</t>
        </r>
      </text>
    </comment>
    <comment ref="D85" authorId="0" shapeId="0">
      <text>
        <r>
          <rPr>
            <b/>
            <sz val="8"/>
            <color indexed="8"/>
            <rFont val="Tahoma"/>
            <family val="2"/>
            <charset val="1"/>
          </rPr>
          <t xml:space="preserve">Yanine Caycho: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D14" authorId="0" shapeId="0">
      <text>
        <r>
          <rPr>
            <b/>
            <sz val="8"/>
            <color indexed="8"/>
            <rFont val="Tahoma"/>
            <family val="2"/>
            <charset val="1"/>
          </rPr>
          <t xml:space="preserve">Yanine Caycho:
</t>
        </r>
        <r>
          <rPr>
            <sz val="8"/>
            <color indexed="8"/>
            <rFont val="Tahoma"/>
            <family val="2"/>
            <charset val="1"/>
          </rPr>
          <t>08-3-11</t>
        </r>
      </text>
    </comment>
    <comment ref="D15" authorId="0" shapeId="0">
      <text>
        <r>
          <rPr>
            <b/>
            <sz val="8"/>
            <color indexed="8"/>
            <rFont val="Tahoma"/>
            <family val="2"/>
            <charset val="1"/>
          </rPr>
          <t xml:space="preserve">Yanine Caycho:
</t>
        </r>
        <r>
          <rPr>
            <sz val="8"/>
            <color indexed="8"/>
            <rFont val="Tahoma"/>
            <family val="2"/>
            <charset val="1"/>
          </rPr>
          <t>08-3-11</t>
        </r>
      </text>
    </comment>
    <comment ref="D17" authorId="0" shapeId="0">
      <text>
        <r>
          <rPr>
            <b/>
            <sz val="8"/>
            <color indexed="8"/>
            <rFont val="Tahoma"/>
            <family val="2"/>
            <charset val="1"/>
          </rPr>
          <t xml:space="preserve">Yanine Caycho:
</t>
        </r>
        <r>
          <rPr>
            <sz val="8"/>
            <color indexed="8"/>
            <rFont val="Tahoma"/>
            <family val="2"/>
            <charset val="1"/>
          </rPr>
          <t>08-3-11</t>
        </r>
      </text>
    </comment>
    <comment ref="D18" authorId="0" shapeId="0">
      <text>
        <r>
          <rPr>
            <b/>
            <sz val="8"/>
            <color indexed="8"/>
            <rFont val="Tahoma"/>
            <family val="2"/>
            <charset val="1"/>
          </rPr>
          <t xml:space="preserve">Yanine Caycho:
</t>
        </r>
        <r>
          <rPr>
            <sz val="8"/>
            <color indexed="8"/>
            <rFont val="Tahoma"/>
            <family val="2"/>
            <charset val="1"/>
          </rPr>
          <t>08-3-11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D111" authorId="0" shapeId="0">
      <text>
        <r>
          <rPr>
            <b/>
            <sz val="8"/>
            <color indexed="8"/>
            <rFont val="Tahoma"/>
            <family val="2"/>
            <charset val="1"/>
          </rPr>
          <t xml:space="preserve">DIF 01,05,11
</t>
        </r>
      </text>
    </comment>
    <comment ref="D112" authorId="0" shapeId="0">
      <text>
        <r>
          <rPr>
            <b/>
            <sz val="8"/>
            <color indexed="8"/>
            <rFont val="Tahoma"/>
            <family val="2"/>
            <charset val="1"/>
          </rPr>
          <t xml:space="preserve">DIF 01,05,11
</t>
        </r>
      </text>
    </comment>
    <comment ref="D113" authorId="0" shapeId="0">
      <text>
        <r>
          <rPr>
            <b/>
            <sz val="8"/>
            <color indexed="8"/>
            <rFont val="Tahoma"/>
            <family val="2"/>
            <charset val="1"/>
          </rPr>
          <t>DIF 01,04,11</t>
        </r>
      </text>
    </comment>
    <comment ref="D114" authorId="0" shapeId="0">
      <text>
        <r>
          <rPr>
            <b/>
            <sz val="8"/>
            <color indexed="8"/>
            <rFont val="Tahoma"/>
            <family val="2"/>
            <charset val="1"/>
          </rPr>
          <t>DIF 20,04,11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D31" authorId="0" shapeId="0">
      <text>
        <r>
          <rPr>
            <b/>
            <sz val="8"/>
            <color indexed="8"/>
            <rFont val="Tahoma"/>
            <family val="2"/>
            <charset val="1"/>
          </rPr>
          <t xml:space="preserve">ycaycho:
</t>
        </r>
        <r>
          <rPr>
            <sz val="8"/>
            <color indexed="8"/>
            <rFont val="Tahoma"/>
            <family val="2"/>
            <charset val="1"/>
          </rPr>
          <t>DEVUELTO 09,02,11</t>
        </r>
      </text>
    </comment>
    <comment ref="D74" authorId="0" shapeId="0">
      <text>
        <r>
          <rPr>
            <b/>
            <sz val="8"/>
            <color indexed="8"/>
            <rFont val="Tahoma"/>
            <family val="2"/>
            <charset val="1"/>
          </rPr>
          <t>DIF 24,04,11</t>
        </r>
      </text>
    </comment>
    <comment ref="D75" authorId="0" shapeId="0">
      <text>
        <r>
          <rPr>
            <b/>
            <sz val="8"/>
            <color indexed="8"/>
            <rFont val="Tahoma"/>
            <family val="2"/>
            <charset val="1"/>
          </rPr>
          <t>DIF 24,04,11</t>
        </r>
      </text>
    </comment>
    <comment ref="D98" authorId="0" shapeId="0">
      <text>
        <r>
          <rPr>
            <b/>
            <sz val="8"/>
            <color indexed="8"/>
            <rFont val="Tahoma"/>
            <family val="2"/>
            <charset val="1"/>
          </rPr>
          <t xml:space="preserve">DIF 01,05,11
</t>
        </r>
      </text>
    </comment>
    <comment ref="D99" authorId="0" shapeId="0">
      <text>
        <r>
          <rPr>
            <b/>
            <sz val="8"/>
            <color indexed="8"/>
            <rFont val="Tahoma"/>
            <family val="2"/>
            <charset val="1"/>
          </rPr>
          <t xml:space="preserve">DIF 01,05,11
</t>
        </r>
      </text>
    </comment>
    <comment ref="D100" authorId="0" shapeId="0">
      <text>
        <r>
          <rPr>
            <b/>
            <sz val="8"/>
            <color indexed="8"/>
            <rFont val="Tahoma"/>
            <family val="2"/>
            <charset val="1"/>
          </rPr>
          <t>DIF 01,04,11</t>
        </r>
      </text>
    </comment>
    <comment ref="D101" authorId="0" shapeId="0">
      <text>
        <r>
          <rPr>
            <b/>
            <sz val="8"/>
            <color indexed="8"/>
            <rFont val="Tahoma"/>
            <family val="2"/>
            <charset val="1"/>
          </rPr>
          <t>DIF 20,04,11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D118" authorId="0" shapeId="0">
      <text>
        <r>
          <rPr>
            <b/>
            <sz val="8"/>
            <color indexed="8"/>
            <rFont val="Tahoma"/>
            <family val="2"/>
            <charset val="1"/>
          </rPr>
          <t xml:space="preserve">DIF 01,05,11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D66" authorId="0" shapeId="0">
      <text>
        <r>
          <rPr>
            <b/>
            <sz val="8"/>
            <color indexed="8"/>
            <rFont val="Tahoma"/>
            <family val="2"/>
            <charset val="1"/>
          </rPr>
          <t xml:space="preserve">Yanine Caycho:
</t>
        </r>
        <r>
          <rPr>
            <sz val="8"/>
            <color indexed="8"/>
            <rFont val="Tahoma"/>
            <family val="2"/>
            <charset val="1"/>
          </rPr>
          <t xml:space="preserve">02.01.2012
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B33" authorId="0" shapeId="0">
      <text>
        <r>
          <rPr>
            <b/>
            <sz val="8"/>
            <color indexed="8"/>
            <rFont val="Tahoma"/>
            <family val="2"/>
            <charset val="1"/>
          </rPr>
          <t xml:space="preserve">Yanine Caycho:
</t>
        </r>
        <r>
          <rPr>
            <sz val="8"/>
            <color indexed="8"/>
            <rFont val="Tahoma"/>
            <family val="2"/>
            <charset val="1"/>
          </rPr>
          <t>girado semana del 27.01.12</t>
        </r>
      </text>
    </comment>
    <comment ref="B34" authorId="0" shapeId="0">
      <text>
        <r>
          <rPr>
            <b/>
            <sz val="8"/>
            <color indexed="8"/>
            <rFont val="Tahoma"/>
            <family val="2"/>
            <charset val="1"/>
          </rPr>
          <t xml:space="preserve">Yanine Caycho:
</t>
        </r>
        <r>
          <rPr>
            <sz val="8"/>
            <color indexed="8"/>
            <rFont val="Tahoma"/>
            <family val="2"/>
            <charset val="1"/>
          </rPr>
          <t>girado semana del 27.01.12</t>
        </r>
      </text>
    </comment>
    <comment ref="B35" authorId="0" shapeId="0">
      <text>
        <r>
          <rPr>
            <b/>
            <sz val="8"/>
            <color indexed="8"/>
            <rFont val="Tahoma"/>
            <family val="2"/>
            <charset val="1"/>
          </rPr>
          <t xml:space="preserve">Yanine Caycho:
</t>
        </r>
        <r>
          <rPr>
            <sz val="8"/>
            <color indexed="8"/>
            <rFont val="Tahoma"/>
            <family val="2"/>
            <charset val="1"/>
          </rPr>
          <t>girado semana del 27.01.12</t>
        </r>
      </text>
    </comment>
    <comment ref="B36" authorId="0" shapeId="0">
      <text>
        <r>
          <rPr>
            <b/>
            <sz val="8"/>
            <color indexed="8"/>
            <rFont val="Tahoma"/>
            <family val="2"/>
            <charset val="1"/>
          </rPr>
          <t xml:space="preserve">Yanine Caycho:
</t>
        </r>
        <r>
          <rPr>
            <sz val="8"/>
            <color indexed="8"/>
            <rFont val="Tahoma"/>
            <family val="2"/>
            <charset val="1"/>
          </rPr>
          <t>girado semana del 27.01.12</t>
        </r>
      </text>
    </comment>
    <comment ref="B37" authorId="0" shapeId="0">
      <text>
        <r>
          <rPr>
            <b/>
            <sz val="8"/>
            <color indexed="8"/>
            <rFont val="Tahoma"/>
            <family val="2"/>
            <charset val="1"/>
          </rPr>
          <t xml:space="preserve">Yanine Caycho:
</t>
        </r>
        <r>
          <rPr>
            <sz val="8"/>
            <color indexed="8"/>
            <rFont val="Tahoma"/>
            <family val="2"/>
            <charset val="1"/>
          </rPr>
          <t>girado semana del 27.01.12</t>
        </r>
      </text>
    </comment>
    <comment ref="B38" authorId="0" shapeId="0">
      <text>
        <r>
          <rPr>
            <b/>
            <sz val="8"/>
            <color indexed="8"/>
            <rFont val="Tahoma"/>
            <family val="2"/>
            <charset val="1"/>
          </rPr>
          <t xml:space="preserve">Yanine Caycho:
</t>
        </r>
        <r>
          <rPr>
            <sz val="8"/>
            <color indexed="8"/>
            <rFont val="Tahoma"/>
            <family val="2"/>
            <charset val="1"/>
          </rPr>
          <t>girado semana del 27.01.12</t>
        </r>
      </text>
    </comment>
    <comment ref="B39" authorId="0" shapeId="0">
      <text>
        <r>
          <rPr>
            <b/>
            <sz val="8"/>
            <color indexed="8"/>
            <rFont val="Tahoma"/>
            <family val="2"/>
            <charset val="1"/>
          </rPr>
          <t xml:space="preserve">Yanine Caycho:
</t>
        </r>
        <r>
          <rPr>
            <sz val="8"/>
            <color indexed="8"/>
            <rFont val="Tahoma"/>
            <family val="2"/>
            <charset val="1"/>
          </rPr>
          <t>girado semana del 27.01.12</t>
        </r>
      </text>
    </comment>
    <comment ref="D60" authorId="0" shapeId="0">
      <text>
        <r>
          <rPr>
            <b/>
            <sz val="8"/>
            <color indexed="8"/>
            <rFont val="Tahoma"/>
            <family val="2"/>
            <charset val="1"/>
          </rPr>
          <t xml:space="preserve">Yanine Caycho:
</t>
        </r>
        <r>
          <rPr>
            <sz val="8"/>
            <color indexed="8"/>
            <rFont val="Tahoma"/>
            <family val="2"/>
            <charset val="1"/>
          </rPr>
          <t>29.02.12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D55" authorId="0" shapeId="0">
      <text>
        <r>
          <rPr>
            <b/>
            <sz val="8"/>
            <color indexed="8"/>
            <rFont val="Tahoma"/>
            <family val="2"/>
            <charset val="1"/>
          </rPr>
          <t xml:space="preserve">Yanine Caycho:
</t>
        </r>
        <r>
          <rPr>
            <sz val="8"/>
            <color indexed="8"/>
            <rFont val="Tahoma"/>
            <family val="2"/>
            <charset val="1"/>
          </rPr>
          <t>22.04.12</t>
        </r>
      </text>
    </comment>
    <comment ref="D56" authorId="0" shapeId="0">
      <text>
        <r>
          <rPr>
            <b/>
            <sz val="8"/>
            <color indexed="8"/>
            <rFont val="Tahoma"/>
            <family val="2"/>
            <charset val="1"/>
          </rPr>
          <t xml:space="preserve">Yanine Caycho:
</t>
        </r>
        <r>
          <rPr>
            <sz val="8"/>
            <color indexed="8"/>
            <rFont val="Tahoma"/>
            <family val="2"/>
            <charset val="1"/>
          </rPr>
          <t>22.05.12</t>
        </r>
      </text>
    </comment>
    <comment ref="D58" authorId="0" shapeId="0">
      <text>
        <r>
          <rPr>
            <b/>
            <sz val="8"/>
            <color indexed="8"/>
            <rFont val="Tahoma"/>
            <family val="2"/>
            <charset val="1"/>
          </rPr>
          <t xml:space="preserve">Yanine Caycho:
</t>
        </r>
        <r>
          <rPr>
            <sz val="8"/>
            <color indexed="8"/>
            <rFont val="Tahoma"/>
            <family val="2"/>
            <charset val="1"/>
          </rPr>
          <t>20.04.12</t>
        </r>
      </text>
    </comment>
  </commentList>
</comments>
</file>

<file path=xl/sharedStrings.xml><?xml version="1.0" encoding="utf-8"?>
<sst xmlns="http://schemas.openxmlformats.org/spreadsheetml/2006/main" count="7279" uniqueCount="3001">
  <si>
    <t>AREA: FINANZAS-TESORERIA</t>
  </si>
  <si>
    <t>MANUFACTURAS INDUSTRIALES MENDOZA S.A.</t>
  </si>
  <si>
    <t>Nº</t>
  </si>
  <si>
    <t>FECHA</t>
  </si>
  <si>
    <t>DOC</t>
  </si>
  <si>
    <t>VCTO</t>
  </si>
  <si>
    <t>PROVEEDOR</t>
  </si>
  <si>
    <t>CONCEPTO</t>
  </si>
  <si>
    <t>DOLARES</t>
  </si>
  <si>
    <t>PERNOS HEXAGONALES</t>
  </si>
  <si>
    <t>IMPORTADORA FERRETERA Y SOLDADURAS S.A.</t>
  </si>
  <si>
    <t>IMPORTADORA INDUSTRIAL CORPUS SRL</t>
  </si>
  <si>
    <t>RODAMIENTOS</t>
  </si>
  <si>
    <t>2E INGENIEROS SRL</t>
  </si>
  <si>
    <t>HEWLETT-PACKARD PERU SRL</t>
  </si>
  <si>
    <t>HEWLETT-PACKARD PERU S.R.L.</t>
  </si>
  <si>
    <t>MERCADO INDUSTRIAL PERUANO S.A.</t>
  </si>
  <si>
    <t>GASES Y TECNOLOGIA SRL</t>
  </si>
  <si>
    <t>ALAMBRE MIG MAG</t>
  </si>
  <si>
    <t>GASES Y TECNOLOGIA S.R.L.</t>
  </si>
  <si>
    <t>AJUSTE PERFECTO S.A.C.</t>
  </si>
  <si>
    <t>PROGRAMA DE FLUIDO DEODORIZANTE</t>
  </si>
  <si>
    <t>RICH-OIL S.A.</t>
  </si>
  <si>
    <t>JULIA CHAVARRI TELLEZ</t>
  </si>
  <si>
    <t xml:space="preserve">TOTAL A PAGAR        </t>
  </si>
  <si>
    <t>CHEQUE</t>
  </si>
  <si>
    <t>MATRIZ DE PERNO ANGULAR</t>
  </si>
  <si>
    <t>FIRMADO</t>
  </si>
  <si>
    <t>ELECTRO COMERCIAL SIMEON SAC</t>
  </si>
  <si>
    <t>CORREO</t>
  </si>
  <si>
    <t>BANCO CONTINENTAL</t>
  </si>
  <si>
    <t>FACTURAS POR PAGAR TELECREDITO SOLES 25-02-2011</t>
  </si>
  <si>
    <t>SOLES</t>
  </si>
  <si>
    <t>001-009444</t>
  </si>
  <si>
    <t>LATINO POLIPROPILENO S.A.</t>
  </si>
  <si>
    <t>SACOS PPP</t>
  </si>
  <si>
    <t>050-0008820</t>
  </si>
  <si>
    <t>SEKUR PERU S.A.</t>
  </si>
  <si>
    <t>BOTIN C/PUNTA ACERO</t>
  </si>
  <si>
    <t>001-0003382</t>
  </si>
  <si>
    <t>M. PAVICH CUTTING TOOLS SAC</t>
  </si>
  <si>
    <t>PIEDRA ESMERIL</t>
  </si>
  <si>
    <t>001-0003381</t>
  </si>
  <si>
    <t>001-0001917</t>
  </si>
  <si>
    <t>PROTECH DEL PERU SAC</t>
  </si>
  <si>
    <t>MANDIL DE CUERO</t>
  </si>
  <si>
    <t>001-001929</t>
  </si>
  <si>
    <t>RESPIRADOR CNP2</t>
  </si>
  <si>
    <t>001-010127</t>
  </si>
  <si>
    <t>MANUEL MACETAS MORALES</t>
  </si>
  <si>
    <t>UTILES DE LIMPIEZA Y ASEO</t>
  </si>
  <si>
    <t>001-010130</t>
  </si>
  <si>
    <t>001-010131</t>
  </si>
  <si>
    <t>001-010132</t>
  </si>
  <si>
    <t>756-0009267</t>
  </si>
  <si>
    <t>LLAMA GAS S.A.</t>
  </si>
  <si>
    <t>02 BALONES DE 15KG GLP PARA MONTACARGA</t>
  </si>
  <si>
    <t>756-0009256</t>
  </si>
  <si>
    <t>756-0009287</t>
  </si>
  <si>
    <t>01 BALON DE 15KG DE GLP PARA MONTACARGA</t>
  </si>
  <si>
    <t>756-009280</t>
  </si>
  <si>
    <t>03 BALONES DE 15KG DE GLP PARA MONTACARGA</t>
  </si>
  <si>
    <t>756-0009304</t>
  </si>
  <si>
    <t>02 BALONES DE 15KG DE GLP PARA MONTACARGA</t>
  </si>
  <si>
    <t>002-014403</t>
  </si>
  <si>
    <t>FERROLINE (ARGOMIX)</t>
  </si>
  <si>
    <t>504-0074107</t>
  </si>
  <si>
    <t>RIMAC EPS</t>
  </si>
  <si>
    <t>APORTE MES FEBRERO 2011</t>
  </si>
  <si>
    <t>001-002633</t>
  </si>
  <si>
    <t>CONFORMACION DEL ACERO Y DERIVADOS S.A.</t>
  </si>
  <si>
    <t>ALAMBRE TREFILADO</t>
  </si>
  <si>
    <t>001-001355</t>
  </si>
  <si>
    <t>FORKLIFT &amp; SERVICE SAC</t>
  </si>
  <si>
    <t>SERVICIO DE ALQUILER DE MONTACARGA</t>
  </si>
  <si>
    <t>044-0019325</t>
  </si>
  <si>
    <t>CORREO PRIVADO S.A.C.</t>
  </si>
  <si>
    <t>SERV. ENVIO DE MUESTRA-WENZHOU YIKUN-CHINA</t>
  </si>
  <si>
    <t>001-001177</t>
  </si>
  <si>
    <t>ACEROS CASTILLO EIRL</t>
  </si>
  <si>
    <t>FIERROS</t>
  </si>
  <si>
    <t>001-0391135</t>
  </si>
  <si>
    <t>EQUIFAX PERU S.A.</t>
  </si>
  <si>
    <t>SERV. PUBL.INF. MOROSOS MES ENERO 2011</t>
  </si>
  <si>
    <t>002-0016832</t>
  </si>
  <si>
    <t>ACEROS BOEHLER DEL PERU S.A.</t>
  </si>
  <si>
    <t>TEMPLE Y REVENIDO</t>
  </si>
  <si>
    <t>001-000328</t>
  </si>
  <si>
    <t>COCIOS CALLE JULIO ENRIQUE</t>
  </si>
  <si>
    <t>CAJAS DE DERIVACION</t>
  </si>
  <si>
    <t>001-000138</t>
  </si>
  <si>
    <t>CORPORACION OCCIDENTAL STAR SAC</t>
  </si>
  <si>
    <t>VARILLAS DE COBRE</t>
  </si>
  <si>
    <t>FACTURAS Y/O LETRAS POR PAGAR  C/ CHEQUE SOLES AL 25-02-2011</t>
  </si>
  <si>
    <t>F/001-00041</t>
  </si>
  <si>
    <t>PYF SERVITRANSPORTES SAC</t>
  </si>
  <si>
    <t>SERVICIO DE TRANSPORTE</t>
  </si>
  <si>
    <t>EN PODER DE AMALIA 15,02,11 / 22,02,11 ENTREGADO A YESSY PARA SU REGULARIZACION N/C</t>
  </si>
  <si>
    <t>F/001-00044</t>
  </si>
  <si>
    <t>F/001-000376</t>
  </si>
  <si>
    <t>BCP 9854833</t>
  </si>
  <si>
    <t>RAMON ERNESTO LAZARTE BECK</t>
  </si>
  <si>
    <t>TRANSPORTE LOCAL</t>
  </si>
  <si>
    <t>PENDIENTE</t>
  </si>
  <si>
    <t>F/001-000203</t>
  </si>
  <si>
    <t>BCP 9854849</t>
  </si>
  <si>
    <t>DAVID ANGEL CONDORI CARDENAS</t>
  </si>
  <si>
    <t>SERV. REP. SISTEMA HIDRAULICO DE MAQUINA</t>
  </si>
  <si>
    <t>REC 01930796</t>
  </si>
  <si>
    <t>BCP 9854850</t>
  </si>
  <si>
    <t>SEDAPAL</t>
  </si>
  <si>
    <t>CONSUMO MES FEB 2011 - OMICRON 643</t>
  </si>
  <si>
    <t>F/001-000124</t>
  </si>
  <si>
    <t>BCP 9854851</t>
  </si>
  <si>
    <t>MPC ELECTRIC SRL</t>
  </si>
  <si>
    <t>RELE TERMICO</t>
  </si>
  <si>
    <t>F/504-0057869</t>
  </si>
  <si>
    <t>BCP 9854852</t>
  </si>
  <si>
    <t>APORTE MES JULIO 2010</t>
  </si>
  <si>
    <t>FRACC.</t>
  </si>
  <si>
    <t>BCP 9854853</t>
  </si>
  <si>
    <t>SUNAT/BANCO DE LA NACION</t>
  </si>
  <si>
    <t>CUOTA 61 FRACCIONAMIENTO FEBRERO 2011</t>
  </si>
  <si>
    <t>BCP 9854855</t>
  </si>
  <si>
    <t>TALAVERA GARCIA OMAR</t>
  </si>
  <si>
    <t>ENTREGA A RENDIR-INDICACION DEL SR. MONTEGHIRFO</t>
  </si>
  <si>
    <t>ANULADO</t>
  </si>
  <si>
    <t>BCP 9854856</t>
  </si>
  <si>
    <t>MONTES ROJAS, CARLOS</t>
  </si>
  <si>
    <t>REC B-82970131</t>
  </si>
  <si>
    <t>BCP 9854857</t>
  </si>
  <si>
    <t>EDELNOR</t>
  </si>
  <si>
    <t>CONSUMO MES FEB 2011 - OMICRON 105</t>
  </si>
  <si>
    <t>REC B-82969975</t>
  </si>
  <si>
    <t>BCP 9854858</t>
  </si>
  <si>
    <t>F/001-279/280</t>
  </si>
  <si>
    <t>BCP 9854859</t>
  </si>
  <si>
    <t>INDUSTRIAS AGUITEX EIRL</t>
  </si>
  <si>
    <t>PANTALONES,CAMISAS Y POLOS</t>
  </si>
  <si>
    <t>REC 02196364</t>
  </si>
  <si>
    <t>BCP 9854860</t>
  </si>
  <si>
    <t>CONSUMO FEBRERO 2011 - OMICRON 105 A</t>
  </si>
  <si>
    <t>F/001-009849</t>
  </si>
  <si>
    <t>BARRIONUEVO HUAHUASONCCO JUSTINA</t>
  </si>
  <si>
    <t>WINCHA STANLEY</t>
  </si>
  <si>
    <t>CARTA DE LETRAS Y/O RECIBOS POR PAGAR - SOLES AL 21-02-11</t>
  </si>
  <si>
    <t>UBICACIÓN</t>
  </si>
  <si>
    <t>L/21676</t>
  </si>
  <si>
    <t>JEPESA REPRESENTACIONES SRL</t>
  </si>
  <si>
    <t>BCP</t>
  </si>
  <si>
    <t>MIMSA 028-11</t>
  </si>
  <si>
    <t>REC VARIOS</t>
  </si>
  <si>
    <t xml:space="preserve">TELEFONICA </t>
  </si>
  <si>
    <t>CONSUMO MES FEB 2011 (464-8622/561-2998/498-8820)</t>
  </si>
  <si>
    <t>MIMSA 029-11</t>
  </si>
  <si>
    <t xml:space="preserve"> TOTAL A PAGAR         </t>
  </si>
  <si>
    <t>FACTURAS Y/O LETRAS POR PAGAR  C/ CHEQUE AL 25-02-2011</t>
  </si>
  <si>
    <t>IMPORTACIONES</t>
  </si>
  <si>
    <t>DUA</t>
  </si>
  <si>
    <t>BCP 9854837</t>
  </si>
  <si>
    <t>SUNAT / BANCO DE CREDITO</t>
  </si>
  <si>
    <t>ARANCELES-QINGDAO DARIWIN F/DRW1002531W FR#14690</t>
  </si>
  <si>
    <t>ENTREGADOS EL 21,02,11</t>
  </si>
  <si>
    <t>BCP 9854838</t>
  </si>
  <si>
    <t>PERCEPCION-QINGDAO DARIWIN F/DRW1002531W FR#14690</t>
  </si>
  <si>
    <t>BCP 9854839</t>
  </si>
  <si>
    <t>ARANCELES - IPAC F/205505  FR#15188</t>
  </si>
  <si>
    <t>BCP 9854840</t>
  </si>
  <si>
    <t>PERCEPCION - IPAC F/205505  FR#15188</t>
  </si>
  <si>
    <t>BCP 9854847</t>
  </si>
  <si>
    <t>ARANCELES - CECEC F/10E476Z  FR#14754</t>
  </si>
  <si>
    <t>BCP 9854848</t>
  </si>
  <si>
    <t>PERCEPCION - CECEC F/10E476Z  FR#14754</t>
  </si>
  <si>
    <t>LIQ</t>
  </si>
  <si>
    <t>BBVA DIF. 2253</t>
  </si>
  <si>
    <t>VLG PERU SAC</t>
  </si>
  <si>
    <t>FLETE - COMENSA F/158 FR#15190 - DIF/30 DIAS</t>
  </si>
  <si>
    <t>BBVA DIF. 2402</t>
  </si>
  <si>
    <t>RUSH TRANSPORT DEL PERU S.A.C.</t>
  </si>
  <si>
    <t>HANDLING-PREFORM SRL F/0006-00000038 FR#15191</t>
  </si>
  <si>
    <t>FLETE,DESCARGA-PREFORM SRL F/0006-00000038 FR#15191</t>
  </si>
  <si>
    <t>FACTURAS POR PAGAR TELECREDITO DOLARES 25-02-2011</t>
  </si>
  <si>
    <t>001-0242654</t>
  </si>
  <si>
    <t>IMPORTADOREA INDUSTRIAL CORPUS SRL</t>
  </si>
  <si>
    <t>SELLOS Y RODAMIENTOS</t>
  </si>
  <si>
    <t>001-0242215</t>
  </si>
  <si>
    <t>001-0241045</t>
  </si>
  <si>
    <t>FAJAS</t>
  </si>
  <si>
    <t>001-0012984</t>
  </si>
  <si>
    <t>IMPORT TOOLS E. RICHARD SAC</t>
  </si>
  <si>
    <t>PLACAS CARB</t>
  </si>
  <si>
    <t>001-000287</t>
  </si>
  <si>
    <t>CODISBA SAC</t>
  </si>
  <si>
    <t>CEPILLO CIRCULAR DE FIERRO</t>
  </si>
  <si>
    <t>001-000096</t>
  </si>
  <si>
    <t>ALFREDO PEDRO JURADO ORE</t>
  </si>
  <si>
    <t>SERV. INST. DE BOMBA HIDRAULICA</t>
  </si>
  <si>
    <t>001-002631</t>
  </si>
  <si>
    <t>001-000721</t>
  </si>
  <si>
    <t>OSCAR CASTILLO MALPARTIDA</t>
  </si>
  <si>
    <t>DADO DE CARBURO DE TUNGSTENO</t>
  </si>
  <si>
    <t>001-000722</t>
  </si>
  <si>
    <t>FACTURAS Y/O LETRAS POR PAGAR  C/ CHEQUE DOLARES AL 25-02-11</t>
  </si>
  <si>
    <t>F/0005-026353/002-038109</t>
  </si>
  <si>
    <t>BCP 9946357</t>
  </si>
  <si>
    <t>DEPOSITOS Y VENTAS SA</t>
  </si>
  <si>
    <t>SERVICIO ALQUILER MONTACARGA Y ALMACENAJE</t>
  </si>
  <si>
    <t>BCP 9946356</t>
  </si>
  <si>
    <t>BANCO DE CREDITO DEL PERU</t>
  </si>
  <si>
    <t>Amortiz#1 Letra 3750 v.21.02.11 Casas Ing.(con cheque de MIMSA)</t>
  </si>
  <si>
    <t>REC 001-24524767</t>
  </si>
  <si>
    <t>BCP 9946358</t>
  </si>
  <si>
    <t>NEXTEL DEL PERU S.A.</t>
  </si>
  <si>
    <t>CANC REC 001-24524767 V,01,03,11</t>
  </si>
  <si>
    <t>BCP 9946359</t>
  </si>
  <si>
    <t>FACTURAS POR PAGAR TELECREDITO SOLES 04-03-2011</t>
  </si>
  <si>
    <t>001-0003405</t>
  </si>
  <si>
    <t>CUCHILLAS SANDVICK</t>
  </si>
  <si>
    <t>001-000523</t>
  </si>
  <si>
    <t>PATRICKS INVERSIONES EIRL</t>
  </si>
  <si>
    <t>PERFIL DE AL P/TUERCA MEDIA LUNA</t>
  </si>
  <si>
    <t>001-000524</t>
  </si>
  <si>
    <t xml:space="preserve">PROTECTOR ANTIRROBO </t>
  </si>
  <si>
    <t>001-000526</t>
  </si>
  <si>
    <t>ALAMBRE DE ALUMINIO</t>
  </si>
  <si>
    <t>756-0009330</t>
  </si>
  <si>
    <t>01 BALON DE GLPX15KG PARA MONTACARGA</t>
  </si>
  <si>
    <t>002-014451</t>
  </si>
  <si>
    <t>OXIGENO Y FERROLINE</t>
  </si>
  <si>
    <t>001-014976</t>
  </si>
  <si>
    <t>SERVICIOS INDUSTRIALES PASTAZA EIRL</t>
  </si>
  <si>
    <t>PERFILES DIVERSAS MEDIDAS</t>
  </si>
  <si>
    <t>043-0208086</t>
  </si>
  <si>
    <t>LIMA GAS S.A.</t>
  </si>
  <si>
    <t>02 CAR GLPX45KG</t>
  </si>
  <si>
    <t>001-0010039</t>
  </si>
  <si>
    <t>SISTEMAS INTELIGENTES SAC</t>
  </si>
  <si>
    <t>REINSTALACION DE SOFTWARE DE ASISTENCIA Y COMUNICA TEMPUS</t>
  </si>
  <si>
    <t>FACTURAS Y/O LETRAS POR PAGAR  C/ CHEQUE SOLES AL 04-03-2011</t>
  </si>
  <si>
    <t>RECXHON 001-394</t>
  </si>
  <si>
    <t>BCP 9854861</t>
  </si>
  <si>
    <t>EDUARDO A. DEL CASTILLO CARRASCO</t>
  </si>
  <si>
    <t>HONORARIOS LEGALES</t>
  </si>
  <si>
    <t>LIQ 2011-00004</t>
  </si>
  <si>
    <t>BCP 9854863</t>
  </si>
  <si>
    <t>CARLOS MONTES ROJAS</t>
  </si>
  <si>
    <t>REEMBOLSO GTOS AGG Nº2011-00004  25,02,11</t>
  </si>
  <si>
    <t>L/5008938</t>
  </si>
  <si>
    <t>BBVA 2289</t>
  </si>
  <si>
    <t>EN CARTERA</t>
  </si>
  <si>
    <t>F/004-0042202</t>
  </si>
  <si>
    <t>BBVA 2290</t>
  </si>
  <si>
    <t>PRICEWATERHOUSECOOPERS S.CIVIL DE R.L.</t>
  </si>
  <si>
    <t>SUSCRIPCION AL SERVICIO SALARY PAC (ENE-DIC 2011)</t>
  </si>
  <si>
    <t>F/001-000026</t>
  </si>
  <si>
    <t>BBVA 2291</t>
  </si>
  <si>
    <t>CONSTRUCCIONES INGUNZA VILLASIS S.A.C.</t>
  </si>
  <si>
    <t>CONSTRUCCION DE TORREONES DE SEGURIDAD</t>
  </si>
  <si>
    <t>LIQUIDACIONES</t>
  </si>
  <si>
    <t>BBVA 2293</t>
  </si>
  <si>
    <t>CATHERINA GURMENDI ESPINOZA</t>
  </si>
  <si>
    <t>REEMBOLSO CAJA CHICA Nº004/2011 (26,02) Y 005/2011 (28,02)</t>
  </si>
  <si>
    <t>F/001-006073/6077</t>
  </si>
  <si>
    <t>BBVA 2294</t>
  </si>
  <si>
    <t>PROAFA SAC</t>
  </si>
  <si>
    <t>DETECTORES DE HUMO,RECARGA MNTTO Y PINTADO DE EXTINTORES</t>
  </si>
  <si>
    <t>O/C 6147</t>
  </si>
  <si>
    <t>BBVA 2295</t>
  </si>
  <si>
    <t>HARRINGTON EJECUTORES SAC</t>
  </si>
  <si>
    <t>50% ADELANTOXAIRE ACONDICIONADO SPLIT</t>
  </si>
  <si>
    <t>O/C 6156</t>
  </si>
  <si>
    <t>BCP 2 PAFE</t>
  </si>
  <si>
    <t>INGENIERIA DE SERVICIOS COMERCIALIZACION Y TRANSPORTE HNOS EIRL-INSECOYT HNOS EIRL</t>
  </si>
  <si>
    <t>COMPRA DE PALETAS Y TACOS DE MADERA - PAFE III</t>
  </si>
  <si>
    <t>CARTA DE LETRAS Y/O RECIBOS POR PAGAR - SOLES AL 04-03-11</t>
  </si>
  <si>
    <t>RECIBOS VARIOS</t>
  </si>
  <si>
    <t>TELEFONICA DEL PERU S.A.</t>
  </si>
  <si>
    <t>CONSUMO MES FEBRERO 2011 (452-2369/452-1609)</t>
  </si>
  <si>
    <t>MIMSA 030-11</t>
  </si>
  <si>
    <t>FACTURAS Y/O LETRAS POR PAGAR  C/ CHEQUE AL 04-03-2011</t>
  </si>
  <si>
    <t>BCP 9854862</t>
  </si>
  <si>
    <t>W. MERCHOR S.A.C.</t>
  </si>
  <si>
    <t>LIQ Nº ORDEN 2011/0179 CORUS F/SIN/40003300 FR#14808</t>
  </si>
  <si>
    <t>BCP 9946361</t>
  </si>
  <si>
    <t>BBVA 2292</t>
  </si>
  <si>
    <t>LIQ Nº ORDEN 2011/0254 QINGDAO F/DRW10025+31 FR#14690</t>
  </si>
  <si>
    <t>BBVA 2053</t>
  </si>
  <si>
    <t>BCP 9854841</t>
  </si>
  <si>
    <t>ARANCELES - COMENSA F/158  FR#15190</t>
  </si>
  <si>
    <t>BCP 9854842</t>
  </si>
  <si>
    <t>PERCEPCION - COMENSA F/158  FR#15190</t>
  </si>
  <si>
    <t>BCP 9854843</t>
  </si>
  <si>
    <t>ARANCELES - PREFORM F/038  FR#15191</t>
  </si>
  <si>
    <t>BCP 9854844</t>
  </si>
  <si>
    <t>PERCEPCION - PREFORM F/038  FR#15191</t>
  </si>
  <si>
    <t>BBVA DIF 2403</t>
  </si>
  <si>
    <t>RUSH TRANSPORT DEL PERU SAC</t>
  </si>
  <si>
    <t>HANDLING-BALESTRO F/BEX072/10 FR#15205</t>
  </si>
  <si>
    <t>BBVA DIF 2255</t>
  </si>
  <si>
    <t>FLETE Y DESCARGA-BALESTRO F/BEX072/10 FR#15205</t>
  </si>
  <si>
    <t>PAFE IIII</t>
  </si>
  <si>
    <t>001-0000582</t>
  </si>
  <si>
    <t>EMPRESA DE SERVICIOS T&amp;M SAC</t>
  </si>
  <si>
    <t>SERVICIO DE MONTACARGA</t>
  </si>
  <si>
    <t>L/051</t>
  </si>
  <si>
    <t>EMPRESA DE TRANSPORTE SOL DE AMERICA EIRL</t>
  </si>
  <si>
    <t>BBVA</t>
  </si>
  <si>
    <t>FACTURAS POR PAGAR TELECREDITO DOLARES 04-03-2011</t>
  </si>
  <si>
    <t>001-014182</t>
  </si>
  <si>
    <t>A&amp;H TRADING SRL</t>
  </si>
  <si>
    <t>LADRILLO Y PLASTICO REFRACTARIO</t>
  </si>
  <si>
    <t>001-0243271</t>
  </si>
  <si>
    <t>C-644</t>
  </si>
  <si>
    <t>EL PACIFICO PERUANO SUIZA</t>
  </si>
  <si>
    <t>POLIZA IMPORTACION C-644</t>
  </si>
  <si>
    <t>F/031-0001290598</t>
  </si>
  <si>
    <t>002-014452</t>
  </si>
  <si>
    <t>001-002696</t>
  </si>
  <si>
    <t>FAYCONAPI SRL</t>
  </si>
  <si>
    <t xml:space="preserve">ADAPTADOR FE HORQUILLA </t>
  </si>
  <si>
    <t>001-007638</t>
  </si>
  <si>
    <t>NOTEBOOK TOSHIBA+MALETIN+MOUSE</t>
  </si>
  <si>
    <t>FACTURAS Y/O LETRAS POR PAGAR  C/ CHEQUE DOLARES AL 04-03-11</t>
  </si>
  <si>
    <t>F/001-000365</t>
  </si>
  <si>
    <t>BCP 9946360</t>
  </si>
  <si>
    <t>INVERSIONES RHAMSES SAC</t>
  </si>
  <si>
    <t xml:space="preserve">01 TORNO PARALELO </t>
  </si>
  <si>
    <t>F/001-000157</t>
  </si>
  <si>
    <t>BBVA 2054</t>
  </si>
  <si>
    <t>CANC SALDO X COMPRA DE TUERCAS</t>
  </si>
  <si>
    <t>BCP 9946365</t>
  </si>
  <si>
    <t>LEVIS GUERRERO VICTOR RAUL</t>
  </si>
  <si>
    <t>COMISIONES X RENDIR</t>
  </si>
  <si>
    <t>BCP 9946366</t>
  </si>
  <si>
    <t>BCP 9946367</t>
  </si>
  <si>
    <t>MONTES ROJAS CARLOS</t>
  </si>
  <si>
    <t>BCP 9946368</t>
  </si>
  <si>
    <t>ESTRADA GUTIERREZ LUIGGI</t>
  </si>
  <si>
    <t>BCP 9946369</t>
  </si>
  <si>
    <t>ARTEAGA REGALADO VIRGINIA</t>
  </si>
  <si>
    <t>BCP 9946370</t>
  </si>
  <si>
    <t>GURMENDI ESPINOZA CATHERINA</t>
  </si>
  <si>
    <t>F/001-000164</t>
  </si>
  <si>
    <t>BCP 2</t>
  </si>
  <si>
    <t>50% ADELANTO X COMPRA DE TUERCAS</t>
  </si>
  <si>
    <t>BCP 3</t>
  </si>
  <si>
    <t>FACTURAS POR PAGAR TELECREDITO SOLES 11-03-2011</t>
  </si>
  <si>
    <t>001-009450</t>
  </si>
  <si>
    <t>029-0032267</t>
  </si>
  <si>
    <t>TECSUR S.A.</t>
  </si>
  <si>
    <t>SECCIONADORES FUSIBLES</t>
  </si>
  <si>
    <t>756-0009346</t>
  </si>
  <si>
    <t>02 BALONES DE GLPX15KG PARA MONTACARGA</t>
  </si>
  <si>
    <t>756-0009323</t>
  </si>
  <si>
    <t>756-0009379</t>
  </si>
  <si>
    <t>756-0009355</t>
  </si>
  <si>
    <t>756-0009370</t>
  </si>
  <si>
    <t>756-0009392</t>
  </si>
  <si>
    <t>03 BALONES DE GLPX15KG PARA MONTACARGA</t>
  </si>
  <si>
    <t>043-0208754</t>
  </si>
  <si>
    <t>03 CAR X 45KG DE GLP</t>
  </si>
  <si>
    <t>001-0063423</t>
  </si>
  <si>
    <t>CUCHILLAS, BRONCAS, MOTA,ETC</t>
  </si>
  <si>
    <t>001-001441</t>
  </si>
  <si>
    <t>ROSA LUZ RAMOS DE LA CRUZ</t>
  </si>
  <si>
    <t>CAJAS PARARRAYOS, LUMINARIAS Y AISLADORES</t>
  </si>
  <si>
    <t>001-001442</t>
  </si>
  <si>
    <t>CAJAS DE CARTON</t>
  </si>
  <si>
    <t>003-012361</t>
  </si>
  <si>
    <t>AQUAWORKS PERU S.A.C.</t>
  </si>
  <si>
    <t>18 BIDONES DE AGUA</t>
  </si>
  <si>
    <t>003-012427</t>
  </si>
  <si>
    <t>06 BIDONES DE AGUA</t>
  </si>
  <si>
    <t>003-012652</t>
  </si>
  <si>
    <t>001-0006203</t>
  </si>
  <si>
    <t>TRATAR PERU S.A.C.</t>
  </si>
  <si>
    <t>026-0000468</t>
  </si>
  <si>
    <t>CONSORCIO RS SRL</t>
  </si>
  <si>
    <t>GLP</t>
  </si>
  <si>
    <t>026-0000506</t>
  </si>
  <si>
    <t>027-0001317</t>
  </si>
  <si>
    <t>0227-0000141</t>
  </si>
  <si>
    <t>001-001258</t>
  </si>
  <si>
    <t>ABEL B. ESCUDERO OYOLA</t>
  </si>
  <si>
    <t>CURVA PLASTICA</t>
  </si>
  <si>
    <t>001-021611</t>
  </si>
  <si>
    <t>IMPORT PACKING PERU SAC</t>
  </si>
  <si>
    <t>TENSIONADORA Y TENAZA</t>
  </si>
  <si>
    <t>001-000329</t>
  </si>
  <si>
    <t>CAJAS PORTAMEDIDORES</t>
  </si>
  <si>
    <t>001-014975</t>
  </si>
  <si>
    <t>PERFILES U GALV.</t>
  </si>
  <si>
    <t>SCTR SALUD MES MARZO 2011</t>
  </si>
  <si>
    <t>RIMAC SEGUROS</t>
  </si>
  <si>
    <t>SCTR PENSION MES MARZO 2011</t>
  </si>
  <si>
    <t>FACTURAS Y/O LETRAS POR PAGAR  C/ CHEQUE SOLES AL 11-03-2011</t>
  </si>
  <si>
    <t>REC B-83279359</t>
  </si>
  <si>
    <t>BCP 9854864</t>
  </si>
  <si>
    <t>CONSUMO MES FEB 2011-OMICRION 105</t>
  </si>
  <si>
    <t>F/001-6071</t>
  </si>
  <si>
    <t>BCP 9854865</t>
  </si>
  <si>
    <t>PROVEEDORES ASOCIADOS FABRICANTES S.A.C.</t>
  </si>
  <si>
    <t>RECARGA, MNTTO EXTINTORES</t>
  </si>
  <si>
    <t>RECIBO</t>
  </si>
  <si>
    <t>BCP 9854866</t>
  </si>
  <si>
    <t>BANCO DE CREDITO/SENATI</t>
  </si>
  <si>
    <t>APORTE MES FEB 2011</t>
  </si>
  <si>
    <t>BCP 9854867</t>
  </si>
  <si>
    <t>CORDOVA CHAVEZ JEANY</t>
  </si>
  <si>
    <t>RETENCION JUDICIAL FEB 2011</t>
  </si>
  <si>
    <t>F/001-272</t>
  </si>
  <si>
    <t>BCP 9854868</t>
  </si>
  <si>
    <t>OCCUPATIONAL HEALTH SAC</t>
  </si>
  <si>
    <t>CANC SALDOX EXAMENES MEDICOS PERSONAL PLANTA</t>
  </si>
  <si>
    <t>F/001-273</t>
  </si>
  <si>
    <t>BCP 9854869</t>
  </si>
  <si>
    <t>CANC SALDOX EXAMENES MEDICOS - CHOFERES</t>
  </si>
  <si>
    <t>F/001-501</t>
  </si>
  <si>
    <t>BCP 9854870</t>
  </si>
  <si>
    <t>SOLUCIONES MULTIMEDIA PERU SAC</t>
  </si>
  <si>
    <t>CALENDARIOS DE MESA PERSONALIZADO</t>
  </si>
  <si>
    <t>F/001-41/44-N/C 001-001/002</t>
  </si>
  <si>
    <t>BBVA 2296</t>
  </si>
  <si>
    <t>P Y F SERVITRANSPORTES S.A.C.</t>
  </si>
  <si>
    <t>F/001-000919</t>
  </si>
  <si>
    <t>BBVA 2297</t>
  </si>
  <si>
    <t>SERVICIOS GRUAS Y MONTACARGAS S.A.C.</t>
  </si>
  <si>
    <t>SERVICIO Y ALQUILER DE MONTACARGA</t>
  </si>
  <si>
    <t>F/001-000325</t>
  </si>
  <si>
    <t>SCTBK 96354202-PAFE</t>
  </si>
  <si>
    <t>INFRAESTRUCTURA &amp; SERVICIOS CONTRATISTAS GENERALES S.A</t>
  </si>
  <si>
    <t>F/001-00068</t>
  </si>
  <si>
    <t>SCTBK 96354203-PAFE</t>
  </si>
  <si>
    <t>INVERSIONES Y ALQUILERES REGIONALES SAC - INALRE SAC</t>
  </si>
  <si>
    <t>SERV. MNTO PLANTA 1-OMICRON 105</t>
  </si>
  <si>
    <t>F/001-00069</t>
  </si>
  <si>
    <t>SCTBK 96354204-PAFE</t>
  </si>
  <si>
    <t>SERV. MNTO PLANTA 2-OMICRON 635</t>
  </si>
  <si>
    <t>F/001-00070</t>
  </si>
  <si>
    <t>SCTBK 96354205-PAFE</t>
  </si>
  <si>
    <t>SERV. MNTO PLANTA 3-OMICRON 643</t>
  </si>
  <si>
    <t>L/052</t>
  </si>
  <si>
    <t>BCP 9854874</t>
  </si>
  <si>
    <t>LIQ BBSS</t>
  </si>
  <si>
    <t>BCP 9854875</t>
  </si>
  <si>
    <t>ARAUCO IBARRA CIRENIO CARPIO</t>
  </si>
  <si>
    <t>LIQUIDACION DE BBSS</t>
  </si>
  <si>
    <t>CARTA DE LETRAS Y/O RECIBOS POR PAGAR - SOLES AL 11-03-11</t>
  </si>
  <si>
    <t>REC L00-45868973</t>
  </si>
  <si>
    <t>TELEFONICA MULTIMEDIA SAC</t>
  </si>
  <si>
    <t>INTERBANK</t>
  </si>
  <si>
    <t>MIMSA 031-11</t>
  </si>
  <si>
    <t>L/21896</t>
  </si>
  <si>
    <t>MIMSA 033-11</t>
  </si>
  <si>
    <t>FACTURAS Y/O LETRAS POR PAGAR  C/ CHEQUE AL 11-03-2011</t>
  </si>
  <si>
    <t>BCP 9854845</t>
  </si>
  <si>
    <t>ARANCELES - TATA STEEL F/40003314  FR#15192</t>
  </si>
  <si>
    <t>BCP 9854846</t>
  </si>
  <si>
    <t>PERCEPCION - TATA STEEL F/40003314  FR#15192</t>
  </si>
  <si>
    <t>BCP 9854871</t>
  </si>
  <si>
    <t>ARANCELES - BALESTRO F/BEX072/10 FR#15205</t>
  </si>
  <si>
    <t>BCP 9854872</t>
  </si>
  <si>
    <t>PERCEPCION - BALESTRO F/BEX072/10 FR#15205</t>
  </si>
  <si>
    <t>BBVA DIF 2404</t>
  </si>
  <si>
    <t>RUSH TRANSPORTE DEL PERU S.A.</t>
  </si>
  <si>
    <t>HANDLING-CERAMICA STA TEREZINHA F/CST-5926/11 FR#15302</t>
  </si>
  <si>
    <t>BBVA DIF 2256</t>
  </si>
  <si>
    <t>FLETE Y DESCARGA-CERAMICA STA TEREZINHA F/CST-5926/11 FR#15302</t>
  </si>
  <si>
    <t>BBVA 2055</t>
  </si>
  <si>
    <t>LIQ MERCHOR Nº ORDEN 2011/0253 CECEC F/10E476Z FR#14754</t>
  </si>
  <si>
    <t>BBVA 2298</t>
  </si>
  <si>
    <t>BBVA 2299</t>
  </si>
  <si>
    <t>LIQ MERCHOR Nº ORDEN 2011/0261 IPAC F/001-000205505 FR#15188</t>
  </si>
  <si>
    <t>BBVA 2056</t>
  </si>
  <si>
    <t>BCP 9946371</t>
  </si>
  <si>
    <t>LIQ MERCHOR Nº ORDEN 2011/0281 BALESTRO F/BEX073/10 FR#15301</t>
  </si>
  <si>
    <t>BCP 9854873</t>
  </si>
  <si>
    <t>FACTURAS POR PAGAR TELECREDITO DOLARES 11-03-2011</t>
  </si>
  <si>
    <t>001-0243367</t>
  </si>
  <si>
    <t>SELLOS BASL</t>
  </si>
  <si>
    <t>001-0063422</t>
  </si>
  <si>
    <t>PINCELES Y BROCAS CILINDRICAS</t>
  </si>
  <si>
    <t>001-0063245</t>
  </si>
  <si>
    <t>BROCAS CILINDRICAS</t>
  </si>
  <si>
    <t>001-0192765</t>
  </si>
  <si>
    <t>C-650</t>
  </si>
  <si>
    <t>POLIZA IMPORTACION C-650</t>
  </si>
  <si>
    <t>F/031-0001296542</t>
  </si>
  <si>
    <t>C-651</t>
  </si>
  <si>
    <t>POLIZA IMPORTACION C-651</t>
  </si>
  <si>
    <t>F/031-0001296541</t>
  </si>
  <si>
    <t>001-006244</t>
  </si>
  <si>
    <t>COMERCIAL BAL SRL</t>
  </si>
  <si>
    <t>ACEITES  Y GRASAS</t>
  </si>
  <si>
    <t>001-006266</t>
  </si>
  <si>
    <t xml:space="preserve">ACEITES </t>
  </si>
  <si>
    <t>001-006284</t>
  </si>
  <si>
    <t>ACEITE RANDO</t>
  </si>
  <si>
    <t>001-001781</t>
  </si>
  <si>
    <t>LUBRI SEGURIDAD INDUSTRIAL SRL</t>
  </si>
  <si>
    <t>ACEITE TEXACO</t>
  </si>
  <si>
    <t>001-001782</t>
  </si>
  <si>
    <t>FACTURAS Y/O LETRAS POR PAGAR  C/ CHEQUE DOLARES AL 11-03-11</t>
  </si>
  <si>
    <t>CUPON 24157638</t>
  </si>
  <si>
    <t>BCP 9946362</t>
  </si>
  <si>
    <t>CUOTA 04/04 SEGURO PATRIMONIAL (LOCAL OMICRON 105/128/136)</t>
  </si>
  <si>
    <t>CUPON 23594945</t>
  </si>
  <si>
    <t>BCP 9946363</t>
  </si>
  <si>
    <t>CUOTA 04/04 SEGURO DE AUTOS (MAZDA PLACA CQJ528- CAMIONETA KIA PLACAS PIX-432/PIQ-897 - CAMION HYUNDAI PLACA CGJ-528)</t>
  </si>
  <si>
    <t>L/0221179-00</t>
  </si>
  <si>
    <t>BIF 1183</t>
  </si>
  <si>
    <t>ABASTECIMIENTOS INDUSTRIALES DEL SUR S.A.C.</t>
  </si>
  <si>
    <t>LETRA EN CARTERA</t>
  </si>
  <si>
    <t>F/0002-38559</t>
  </si>
  <si>
    <t>BCP 9946372</t>
  </si>
  <si>
    <t>DEPOSITOS Y VENTAS S.A.</t>
  </si>
  <si>
    <t>SERVICIO DE ALMACENAJE</t>
  </si>
  <si>
    <t>CARTA DE LETRAS Y/O RECIBOS POR PAGAR - DOLARES AL 11-03-11</t>
  </si>
  <si>
    <t>L/0221135-00</t>
  </si>
  <si>
    <t>MIMSA 032-11</t>
  </si>
  <si>
    <t>L/0221163-00</t>
  </si>
  <si>
    <t>MIMSA 034-11</t>
  </si>
  <si>
    <t>l/2011.02.207</t>
  </si>
  <si>
    <t>COMERCIAL DEL ACERO S.A.</t>
  </si>
  <si>
    <t>MIMSA 035-11</t>
  </si>
  <si>
    <t>L/18045</t>
  </si>
  <si>
    <t>TUBISA SAC</t>
  </si>
  <si>
    <t>MIMSA 036-11</t>
  </si>
  <si>
    <t>FACTURAS POR PAGAR TELECREDITO SOLES 18-03-2011</t>
  </si>
  <si>
    <t>001-0002050</t>
  </si>
  <si>
    <t>PROTECH DEL PERU S.A.C.</t>
  </si>
  <si>
    <t>LUNA DE SOLDAR CLARA SIMPLE</t>
  </si>
  <si>
    <t>001-000542</t>
  </si>
  <si>
    <t>INDUSTRIAL SANTIAGO EIRL</t>
  </si>
  <si>
    <t>GUANTES PARA SOLDADOR</t>
  </si>
  <si>
    <t>001-021937</t>
  </si>
  <si>
    <t>SOLDADURAS,DISCO DE SIERRA,CEPILLO Y OTROS</t>
  </si>
  <si>
    <t>002-0068266</t>
  </si>
  <si>
    <t>CARBONES P/AMOLADORA</t>
  </si>
  <si>
    <t>001-0003426</t>
  </si>
  <si>
    <t>M. PAVICH CUTTING TOOLS S.A.C.</t>
  </si>
  <si>
    <t>CUCHILLAS, BROCAS Y DISCO DE DESBASTE</t>
  </si>
  <si>
    <t>002-0000257</t>
  </si>
  <si>
    <t>CARMELINO FLORES ERICKA LUZ</t>
  </si>
  <si>
    <t>HILO POLYESTER</t>
  </si>
  <si>
    <t>002-0016889</t>
  </si>
  <si>
    <t>001-000141</t>
  </si>
  <si>
    <t>CORPORACION OCCIDENTAL STAR S.A.C.</t>
  </si>
  <si>
    <t>PLANCHA DOBLADA DE COBRE</t>
  </si>
  <si>
    <t>001-000140</t>
  </si>
  <si>
    <t>DOSIS GEL PARA PUESTA A TIERRA</t>
  </si>
  <si>
    <t>001-000537</t>
  </si>
  <si>
    <t>ALAMBRE DE ALUMINIO PARA AMARRE</t>
  </si>
  <si>
    <t>001-000535</t>
  </si>
  <si>
    <t>PROTECTOR ANTIRROBO PARA ELECTRODO</t>
  </si>
  <si>
    <t>001-000536</t>
  </si>
  <si>
    <t>001-001315</t>
  </si>
  <si>
    <t>FIERRO 6X4</t>
  </si>
  <si>
    <t>001-000726</t>
  </si>
  <si>
    <t>RECTIFICACION DADO CARBURO DE TUNGSTENO</t>
  </si>
  <si>
    <t>004-003796</t>
  </si>
  <si>
    <t>AQUAWORKS PERU S.A.C</t>
  </si>
  <si>
    <t>001-004317</t>
  </si>
  <si>
    <t>SERCOM J&amp;P SRL</t>
  </si>
  <si>
    <t>PIZARRA ACRILICO</t>
  </si>
  <si>
    <t>001-004319</t>
  </si>
  <si>
    <t>CALCULADORA CASIO HL</t>
  </si>
  <si>
    <t>001-004320</t>
  </si>
  <si>
    <t>CUCHILLAS HSS</t>
  </si>
  <si>
    <t>001-004347</t>
  </si>
  <si>
    <t>GUANTES, TAPON DE OIDO Y CASCO DE SEGURIDAD</t>
  </si>
  <si>
    <t>001-000220</t>
  </si>
  <si>
    <t>ALEXANDRA PAOLA GUZMAN GUZMAN</t>
  </si>
  <si>
    <t>HOJAS DE PRODUCCION,VALES DE SALIDA Y FORMATOS DE ENTREGA</t>
  </si>
  <si>
    <t>4002-3803</t>
  </si>
  <si>
    <t>FORMACION LABORAL FEBRERO 2010</t>
  </si>
  <si>
    <t>FACTURAS Y/O LETRAS POR PAGAR  C/ CHEQUE SOLES AL 18-03-2011</t>
  </si>
  <si>
    <t>BBVA 2300</t>
  </si>
  <si>
    <t>F/001-000029</t>
  </si>
  <si>
    <t>BBVA 2301</t>
  </si>
  <si>
    <t>CONSTRUCCION DE 02 TORREONES DE SEGURIDAD</t>
  </si>
  <si>
    <t>BCP 9854876</t>
  </si>
  <si>
    <t>SUNAT / BANCO DE LA NACION</t>
  </si>
  <si>
    <t>IMPUESTOS FEBRERO 2011 FORM 601</t>
  </si>
  <si>
    <t>BCP 9854879</t>
  </si>
  <si>
    <t>IMPUESTOS FEBRERO 2011 FORM 621</t>
  </si>
  <si>
    <t>BCP 9854880</t>
  </si>
  <si>
    <t>REEMBOLSO CAJA CHICA Nº005/2011 14.03.11</t>
  </si>
  <si>
    <t>CARTA DE LETRAS Y/O RECIBOS POR PAGAR - SOLES AL 18-03-11</t>
  </si>
  <si>
    <t>L/0007640</t>
  </si>
  <si>
    <t>ALIANZA METALURGICA S.A.</t>
  </si>
  <si>
    <t>MIMSA 037-11</t>
  </si>
  <si>
    <t>FACTURAS Y/O LETRAS POR PAGAR  C/ CHEQUE AL 18-03-2011</t>
  </si>
  <si>
    <t>BBVA 2302</t>
  </si>
  <si>
    <t>LIQ MERCHOR Nº ORDEN 2011/280 BALESTRO F/BEX072/10 FR#15205</t>
  </si>
  <si>
    <t>BBVA 2060</t>
  </si>
  <si>
    <t>BBVA 2303</t>
  </si>
  <si>
    <t>LIQ MERCHOR Nº ORDEN 2011/270 COMENSA F/158 FR#15190</t>
  </si>
  <si>
    <t>BBVA 2061</t>
  </si>
  <si>
    <t>BBVA 2304</t>
  </si>
  <si>
    <t>LIQ MERCHOR Nº ORDEN 2011/329 PREFORM F/6-38 FR#15191</t>
  </si>
  <si>
    <t>BBVA 2062</t>
  </si>
  <si>
    <t>BCP 9854877</t>
  </si>
  <si>
    <t>ARANCELES - CER.STA.TEREZ. F/CST-59268/11 FR#15302</t>
  </si>
  <si>
    <t>BCP 9854878</t>
  </si>
  <si>
    <t>PERCEPCION - CER.STA.TEREZ. F/CST-59268/11 FR#15302</t>
  </si>
  <si>
    <t>BCP 9854881</t>
  </si>
  <si>
    <t>BCP 9854882</t>
  </si>
  <si>
    <t>BCP 9854883</t>
  </si>
  <si>
    <t>PAFE III</t>
  </si>
  <si>
    <t>004-001228</t>
  </si>
  <si>
    <t>PEDRO SANTOS GUEVARA CANCHO</t>
  </si>
  <si>
    <t xml:space="preserve">AISLADORES PORTAFUSIBLES </t>
  </si>
  <si>
    <t>001-000534</t>
  </si>
  <si>
    <t>CONECTOR DE BRONCE VARILLA</t>
  </si>
  <si>
    <t>BCP 0004</t>
  </si>
  <si>
    <t>DELFIN GROUP CO SAC</t>
  </si>
  <si>
    <t>FLETE  NINGBO Y. F/DYRI11314 FR# 15595</t>
  </si>
  <si>
    <t>BCP 0003</t>
  </si>
  <si>
    <t>HANDLING -   NINGBO Y. F/DYRI11314 FR# 15595</t>
  </si>
  <si>
    <t>BCP 0006</t>
  </si>
  <si>
    <t>RUSH TRANSPORT DEL PERU S.A.C</t>
  </si>
  <si>
    <t>FLETE Y DESCARGA-C.I. ELECTRIC F/EX183 FR#15697</t>
  </si>
  <si>
    <t>BCP 0005</t>
  </si>
  <si>
    <t>HANDLING-C.I. ELECTRIC F/EX183 FR#15697</t>
  </si>
  <si>
    <t>O/C 6346</t>
  </si>
  <si>
    <t>BCP 4</t>
  </si>
  <si>
    <t>INGENIERIA DE SERVICIOS COMERCIALIZACION Y TRANSPORTE HNOS EIRL</t>
  </si>
  <si>
    <t>COMPRA DE TACOS DE MADERA</t>
  </si>
  <si>
    <t>FACTURAS POR PAGAR TELECREDITO DOLARES 18-03-2011</t>
  </si>
  <si>
    <t>001-000725</t>
  </si>
  <si>
    <t>001-007904</t>
  </si>
  <si>
    <t xml:space="preserve">PANTALLA TOSHIBA Y SERV. INSTALACION </t>
  </si>
  <si>
    <t>001-000308</t>
  </si>
  <si>
    <t>CODISBA S.A.C.</t>
  </si>
  <si>
    <t>SOLDADURA CITODUR Y DISCO DE DESBASTE</t>
  </si>
  <si>
    <t>001-0048831</t>
  </si>
  <si>
    <t>INDUSTRIAS MENDOZA SRL</t>
  </si>
  <si>
    <t>US PARA CONTRA PUNTA NACIONAL</t>
  </si>
  <si>
    <t>001-0191711</t>
  </si>
  <si>
    <t>ARANDELAS PLANAS</t>
  </si>
  <si>
    <t>C-656</t>
  </si>
  <si>
    <t>POLIZA IMPORTACION C-656</t>
  </si>
  <si>
    <t xml:space="preserve"> C-661</t>
  </si>
  <si>
    <t>POLIZA IMPORTACION C-661</t>
  </si>
  <si>
    <t>F/031-0001300421</t>
  </si>
  <si>
    <t>FACTURAS Y/O LETRAS POR PAGAR  C/ CHEQUE DOLARES AL 18-03-11</t>
  </si>
  <si>
    <t>001-002916</t>
  </si>
  <si>
    <t>BBVA 2057</t>
  </si>
  <si>
    <t>HERRAMIENTAS INDUSTRIALES CATV SAC</t>
  </si>
  <si>
    <t>ESMERIL DE BANCO</t>
  </si>
  <si>
    <t>F/001-253/262/254</t>
  </si>
  <si>
    <t>BBVA 2058</t>
  </si>
  <si>
    <t>TAXPERU CONSULTING S.A.C.</t>
  </si>
  <si>
    <t>SERV. ELAB. ESTUDIO TECNICO DE PRECIOS DE TRANSF. EJERC.2008/2009</t>
  </si>
  <si>
    <t>L/014-2011</t>
  </si>
  <si>
    <t>BBVA 2059</t>
  </si>
  <si>
    <t>CENTELSA PERU S.A.C.</t>
  </si>
  <si>
    <t>CARTA DE LETRAS Y/O RECIBOS POR PAGAR - DOLARES AL 18-03-11</t>
  </si>
  <si>
    <t>L/2011,01,357</t>
  </si>
  <si>
    <t>IBK</t>
  </si>
  <si>
    <t>MIMSA 038-11</t>
  </si>
  <si>
    <t>L/2011-010554</t>
  </si>
  <si>
    <t>RAGEN S.A.</t>
  </si>
  <si>
    <t>MIMSA 039-11</t>
  </si>
  <si>
    <t>C-660</t>
  </si>
  <si>
    <t>POLIZA IMPORTACION C-660</t>
  </si>
  <si>
    <t>F/009-0010825</t>
  </si>
  <si>
    <t>BCP 5</t>
  </si>
  <si>
    <t>JOSFEL ILUMINACION SAC</t>
  </si>
  <si>
    <t>LAMPARA DE 50W</t>
  </si>
  <si>
    <t>FACTURAS POR PAGAR TELECREDITO DOLARES 25-03-2011</t>
  </si>
  <si>
    <t>001-0013293</t>
  </si>
  <si>
    <t>PLACAS CARB SNMA190612</t>
  </si>
  <si>
    <t>001-26113</t>
  </si>
  <si>
    <t>KINDUIT SAC</t>
  </si>
  <si>
    <t>TUBO DE PVC SAP</t>
  </si>
  <si>
    <t>001-2726</t>
  </si>
  <si>
    <t>GARPA DE SUSPENSION</t>
  </si>
  <si>
    <t>001-104</t>
  </si>
  <si>
    <t>JURADO ORE ALFREDO PEDRO</t>
  </si>
  <si>
    <t>SERV DE FABR DE VALVULA CHEK</t>
  </si>
  <si>
    <t>001-458</t>
  </si>
  <si>
    <t>NUÑEZ REYES BETTY NOEMI</t>
  </si>
  <si>
    <t>SERV DE FABRICACION DE PIÑON ESP.</t>
  </si>
  <si>
    <t>001-0000819</t>
  </si>
  <si>
    <t>JJCN SERVICIOS Y REPRESENTACIONES SRL</t>
  </si>
  <si>
    <t>50% SALDO PROYECTO DE AUTOMATIZACION DE ALMACENES</t>
  </si>
  <si>
    <t>FACTURAS Y/O LETRAS POR PAGAR  C/ CHEQUE DOLARES AL 25-03-11</t>
  </si>
  <si>
    <t>RH/ 001-000939</t>
  </si>
  <si>
    <t>BCP 9946373</t>
  </si>
  <si>
    <t>PASAPENA BUSTAMANTE MANUEL</t>
  </si>
  <si>
    <t>REPARACION Y MANETNIMIENTO DE COMPRESORA  DE DOS CABEZALES</t>
  </si>
  <si>
    <t>F/009-0010867</t>
  </si>
  <si>
    <t>SCTBK 79033236</t>
  </si>
  <si>
    <t>LAMPARAS DE 50W</t>
  </si>
  <si>
    <t>F/00-001190</t>
  </si>
  <si>
    <t>SCTBK 79033237</t>
  </si>
  <si>
    <t>ITERA SAC</t>
  </si>
  <si>
    <t>ADQUISICION Y RENOVACION DE LICENCIAS</t>
  </si>
  <si>
    <t>F/001-007912</t>
  </si>
  <si>
    <t>SCTBK 79033238</t>
  </si>
  <si>
    <t>2E INGENIEROS</t>
  </si>
  <si>
    <t>LAPTOP LENOVO</t>
  </si>
  <si>
    <t>F/001-007918</t>
  </si>
  <si>
    <t>SCTBK 79033239</t>
  </si>
  <si>
    <t>PC COMPATIBLES CORE</t>
  </si>
  <si>
    <t>L/3831-1</t>
  </si>
  <si>
    <t>SCTBK 272043</t>
  </si>
  <si>
    <t>HSBC BANK PERU S.A.</t>
  </si>
  <si>
    <t>AMORTIZ # 1 L/3831 V.12,03,11 CASAS INGENIEROS</t>
  </si>
  <si>
    <t>L/3832-1</t>
  </si>
  <si>
    <t>SCTBK 272044</t>
  </si>
  <si>
    <t>AMORTIZ # 1 L/3832 V.13,03,11 CASAS INGENIEROS</t>
  </si>
  <si>
    <t>FACT VARIAS</t>
  </si>
  <si>
    <t>BCP 9946374</t>
  </si>
  <si>
    <t>MD CONSTRUCCIONES SAC</t>
  </si>
  <si>
    <t>MATERIALES VARIOS</t>
  </si>
  <si>
    <t>L/3563</t>
  </si>
  <si>
    <t>HSBC 272046</t>
  </si>
  <si>
    <t>SCOTIABANK PERU</t>
  </si>
  <si>
    <t>AMORTIZ # 2 L/3563 V.17,03,11 CASAS INGENIEROS</t>
  </si>
  <si>
    <t>L/3564</t>
  </si>
  <si>
    <t>HSBC 272047</t>
  </si>
  <si>
    <t>AMORTIZ # 2 L/3564 V.17,03,11 CASAS INGENIEROS</t>
  </si>
  <si>
    <t>L/3683</t>
  </si>
  <si>
    <t>HSBC 272048</t>
  </si>
  <si>
    <t>AMORTIZ # 2 L/3683 V.22,03,11 CASAS INGENIEROS</t>
  </si>
  <si>
    <t>L/3684</t>
  </si>
  <si>
    <t>HSBC 272049</t>
  </si>
  <si>
    <t>AMORTIZ # 2 L/3684 V.22,03,11 CASAS INGENIEROS</t>
  </si>
  <si>
    <t>L/3844</t>
  </si>
  <si>
    <t>HSBC 272050</t>
  </si>
  <si>
    <t>AMORTIZ # 1 L/3844 V.22,03,11 CASAS INGENIEROS</t>
  </si>
  <si>
    <t>L/3750</t>
  </si>
  <si>
    <t>HSBC 272051</t>
  </si>
  <si>
    <t>BANCO DE CREDITO</t>
  </si>
  <si>
    <t>AMORTIZ # 2 L/3750 V.23,03,11 CASAS INGENIEROS</t>
  </si>
  <si>
    <t>REC 001-025363630</t>
  </si>
  <si>
    <t>BBVA 2063</t>
  </si>
  <si>
    <t>CONSUMO MES MARZO 2011</t>
  </si>
  <si>
    <t>ORDEN DEVOL.</t>
  </si>
  <si>
    <t>BCP 9946375</t>
  </si>
  <si>
    <t>SAMARA SRL</t>
  </si>
  <si>
    <t>DEVOLUCION DE DINERO REF. N/C 2872/2976/2977/2978</t>
  </si>
  <si>
    <t>PENDIENTE DE FIRMA</t>
  </si>
  <si>
    <t>BCP 9946376</t>
  </si>
  <si>
    <t>VILLAS OQUENDO S.A.</t>
  </si>
  <si>
    <t>PAGO A CUENTA POR ADQUISICION DE TERRENO</t>
  </si>
  <si>
    <t>BBVA 2065</t>
  </si>
  <si>
    <t>BBVA 2064</t>
  </si>
  <si>
    <t>BCP 9946377</t>
  </si>
  <si>
    <t>HSBC 272053</t>
  </si>
  <si>
    <t>HSBC 272052</t>
  </si>
  <si>
    <t>HSBC 272054</t>
  </si>
  <si>
    <t>CARTA DE LETRAS Y/O RECIBOS POR PAGAR - DOLARES AL 25-03-11</t>
  </si>
  <si>
    <t>L/2011-264</t>
  </si>
  <si>
    <t>RING RING &amp; ENERGY</t>
  </si>
  <si>
    <t>MIMSA 041-11</t>
  </si>
  <si>
    <t>L/0221462-00</t>
  </si>
  <si>
    <t xml:space="preserve">ABINSUR </t>
  </si>
  <si>
    <t>HSBC</t>
  </si>
  <si>
    <t>MIMSA 042-11</t>
  </si>
  <si>
    <t>CARTA DE LETRAS Y/O RECIBOS POR PAGAR - SOLES AL 25-03-11</t>
  </si>
  <si>
    <t>CARTA</t>
  </si>
  <si>
    <t>CERTIFICACION CHEQUES-CASAS ING Nº 272048/272049/272051</t>
  </si>
  <si>
    <t>FACTURAS POR PAGAR TELECREDITO SOLES 25-03-2011</t>
  </si>
  <si>
    <t>002-0016951</t>
  </si>
  <si>
    <t>002-0016923</t>
  </si>
  <si>
    <t>SERVICIO DE ESPECTROMETRIA</t>
  </si>
  <si>
    <t>001-009527</t>
  </si>
  <si>
    <t>001-4346</t>
  </si>
  <si>
    <t>TORQUIMETRO DE 3,8 - 28,2</t>
  </si>
  <si>
    <t>001-4318</t>
  </si>
  <si>
    <t>CALCULADORA CASIO</t>
  </si>
  <si>
    <t>001-723</t>
  </si>
  <si>
    <t>CASTILLO MALPARTIDA OSCAR</t>
  </si>
  <si>
    <t>RECTIFICACION DADO CARBURO</t>
  </si>
  <si>
    <t>002-14528</t>
  </si>
  <si>
    <t>OXIGENO / FERROLINE</t>
  </si>
  <si>
    <t>001-22063</t>
  </si>
  <si>
    <t>TENSIONADORA / TENAZA</t>
  </si>
  <si>
    <t>756-9438</t>
  </si>
  <si>
    <t>LLAMA GAS SA</t>
  </si>
  <si>
    <t>BALONES DE GAS</t>
  </si>
  <si>
    <t>001-339</t>
  </si>
  <si>
    <t>004-3859</t>
  </si>
  <si>
    <t>AQUAWORKS PERU SAC</t>
  </si>
  <si>
    <t>003-012148</t>
  </si>
  <si>
    <t>003-012867</t>
  </si>
  <si>
    <t>001-396202</t>
  </si>
  <si>
    <t>EQUIFAX PERU SAC</t>
  </si>
  <si>
    <t>SERV DE PUBLICACION DE INF.</t>
  </si>
  <si>
    <t>143-6031</t>
  </si>
  <si>
    <t>MAESTRO PERU SAC</t>
  </si>
  <si>
    <t>SILLA GIRATORIA</t>
  </si>
  <si>
    <t>143-6003</t>
  </si>
  <si>
    <t xml:space="preserve">VENTILADOR </t>
  </si>
  <si>
    <t>001-538</t>
  </si>
  <si>
    <t>PATRICK S  INVERSIONES EIRL</t>
  </si>
  <si>
    <t>PROTECTOR ANTIRROBO</t>
  </si>
  <si>
    <t>002-000579</t>
  </si>
  <si>
    <t>ELECTRO FERRETERA D&amp;F EIRL</t>
  </si>
  <si>
    <t>TEMPLADORES OJO - GANCHO</t>
  </si>
  <si>
    <t>001-0076482</t>
  </si>
  <si>
    <t>CIA. COMERCIAL INDUSTRIAL PERUANO SUECA SA</t>
  </si>
  <si>
    <t>ACERO FORJADO SLEIPNER K340</t>
  </si>
  <si>
    <t>043-0209885</t>
  </si>
  <si>
    <t>LIMA GAS SA</t>
  </si>
  <si>
    <t>GAS ENVASADO GLP 45KG</t>
  </si>
  <si>
    <t>001-0136877</t>
  </si>
  <si>
    <t>ACERO VCL</t>
  </si>
  <si>
    <t>16,02,11 observados por Amalia</t>
  </si>
  <si>
    <t>001-005691</t>
  </si>
  <si>
    <t>DEVOLUCION ACERO REF F/001-0136877</t>
  </si>
  <si>
    <t>SE ESTA CANCELANDO VIA TRANSFERENCIA   18/3/11</t>
  </si>
  <si>
    <t>FACTURAS Y/O LETRAS POR PAGAR  C/ CHEQUE SOLES AL 25-03-2011</t>
  </si>
  <si>
    <t>F/ 001-000304</t>
  </si>
  <si>
    <t>BCP 9854884</t>
  </si>
  <si>
    <t>EVALUACIONES MEDICAS OCUPACIONALES</t>
  </si>
  <si>
    <t>F/ 001-945</t>
  </si>
  <si>
    <t>BCP 9854885</t>
  </si>
  <si>
    <t>SERVICIOS GRUAS Y MONTACARGAS  SAC</t>
  </si>
  <si>
    <t>ALQUILER DE MONTACARGA</t>
  </si>
  <si>
    <t>F/ 005-026960</t>
  </si>
  <si>
    <t>BCP 9854886</t>
  </si>
  <si>
    <t>DEPOSITOS Y VENTAS  SA</t>
  </si>
  <si>
    <t>REC 03318074 / 03318151</t>
  </si>
  <si>
    <t>BCP 9854887</t>
  </si>
  <si>
    <t>CONSUMO MES MARZO - CA OMICRON 643-646</t>
  </si>
  <si>
    <t>RET. JUD</t>
  </si>
  <si>
    <t>BBVA 2305</t>
  </si>
  <si>
    <t>ACEVEDO RODRIGUEZ EVELYNNE YZAMAR</t>
  </si>
  <si>
    <t>RETENCION JUDICIAL ENERO 2011-SEGURA SOLIS MIGUEL A.</t>
  </si>
  <si>
    <t>BBVA 2306</t>
  </si>
  <si>
    <t>REEMBOLSO CAJA CHICA Nº006/2011 21,03,11</t>
  </si>
  <si>
    <t>GUIA</t>
  </si>
  <si>
    <t>BCP 9854888</t>
  </si>
  <si>
    <t>CANC. CUOTA 62 FRACCIONAMIENTO</t>
  </si>
  <si>
    <t>RH/001-000395</t>
  </si>
  <si>
    <t>BCP 9854889</t>
  </si>
  <si>
    <t>L/22155</t>
  </si>
  <si>
    <t>MIMSA 040-11</t>
  </si>
  <si>
    <t>FACTURAS Y/O LETRAS POR PAGAR  C/ CHEQUE AL 25-03-2011</t>
  </si>
  <si>
    <t>BBVA 2405</t>
  </si>
  <si>
    <t>BIRKTRANS S.A.C.</t>
  </si>
  <si>
    <t>HANDLING - ZHEJIANG HONG TIAN F/10HT631005 FR#15722</t>
  </si>
  <si>
    <t>BBVA 2257</t>
  </si>
  <si>
    <t>FLETE Y DESCARGA - ZHEJIANG HONG TIAN F/10HT631005 FR#15722</t>
  </si>
  <si>
    <t>BCP 9854890</t>
  </si>
  <si>
    <t>SUNAT /  BANCO DE CREDITO</t>
  </si>
  <si>
    <t>ARANCELES-ROMAGNOLE F/039/11 FR#O/C 5876</t>
  </si>
  <si>
    <t>BCP 9854891</t>
  </si>
  <si>
    <t>PERCEPCION-ROMAGNOLE F/039/11 FR#O/C 5876</t>
  </si>
  <si>
    <t>BCP 9855018</t>
  </si>
  <si>
    <t>ARANCELES-NINGBO YINZHOU F/DYRI11314</t>
  </si>
  <si>
    <t>FIRMADO
EN CUSTODIA
DE AMALIA
26,03,11</t>
  </si>
  <si>
    <t>BCP 9855019</t>
  </si>
  <si>
    <t>PERCEPCION-NINGBO YINZHOU F/DYRI11314</t>
  </si>
  <si>
    <t>BCP 9855020</t>
  </si>
  <si>
    <t>ARANCELES - ZHEJIANG HONG TIAN F/10HT631005</t>
  </si>
  <si>
    <t>BCP 9855021</t>
  </si>
  <si>
    <t>PERCEPCION - ZHEJIANG HONG TIAN F/10HT631005</t>
  </si>
  <si>
    <t>L/22197</t>
  </si>
  <si>
    <t>MIMSA 043-11</t>
  </si>
  <si>
    <t>FACTURAS POR PAGAR TELECREDITO SOLES 01-04-2011</t>
  </si>
  <si>
    <t>001-3443</t>
  </si>
  <si>
    <t>BROCA / LIMA</t>
  </si>
  <si>
    <t>OK</t>
  </si>
  <si>
    <t>026-0000534</t>
  </si>
  <si>
    <t>GAS A GRANEL</t>
  </si>
  <si>
    <t>026-0000539</t>
  </si>
  <si>
    <t>026-0000560</t>
  </si>
  <si>
    <t>026-0000563</t>
  </si>
  <si>
    <t>001-000539</t>
  </si>
  <si>
    <t>PATRICK'S INVERSIONES EIRL</t>
  </si>
  <si>
    <t>001-000545</t>
  </si>
  <si>
    <t>003-012147</t>
  </si>
  <si>
    <t>AGUA 20 LTS</t>
  </si>
  <si>
    <t>001-000729</t>
  </si>
  <si>
    <t>001-000727</t>
  </si>
  <si>
    <t>001-002022</t>
  </si>
  <si>
    <t>SUMINISTROS GENERALES EIRL</t>
  </si>
  <si>
    <t>CAUTIN ELECTRICO</t>
  </si>
  <si>
    <t>756-0009417</t>
  </si>
  <si>
    <t xml:space="preserve">3 BALONES DE 15 KG </t>
  </si>
  <si>
    <t>756-0009504</t>
  </si>
  <si>
    <t xml:space="preserve">2 BALONES DE 15 KG </t>
  </si>
  <si>
    <t>756-0009476</t>
  </si>
  <si>
    <t>756-0009457</t>
  </si>
  <si>
    <t>043-0210195</t>
  </si>
  <si>
    <t>GAS GLP</t>
  </si>
  <si>
    <t>043-0210698</t>
  </si>
  <si>
    <t>001-010434</t>
  </si>
  <si>
    <t>MACETAS MORALES MANUEL FELIPE</t>
  </si>
  <si>
    <t>UTENSILIOS DE LIMPIEZA VARIOS</t>
  </si>
  <si>
    <t>001-010433</t>
  </si>
  <si>
    <t>504-0077207</t>
  </si>
  <si>
    <t>EPS MES DE MARZO 2011</t>
  </si>
  <si>
    <t>001-001343</t>
  </si>
  <si>
    <t>DISCOS DE FIERRO</t>
  </si>
  <si>
    <t>001-009654</t>
  </si>
  <si>
    <t>RUBBER &amp; OIL INDUSTRIAL EIRL</t>
  </si>
  <si>
    <t>ACEITE HIDRAULICO</t>
  </si>
  <si>
    <t>001-0077532</t>
  </si>
  <si>
    <t>CIA COMERCIAL INDUSTRIAL PERUANO SUECA S.A.</t>
  </si>
  <si>
    <t>ACERO SVERKER</t>
  </si>
  <si>
    <t>001-01875</t>
  </si>
  <si>
    <t>DANIEL VIVANCO EIRL</t>
  </si>
  <si>
    <t>SERVICIO DE GRANALLADO</t>
  </si>
  <si>
    <t>FACTURAS Y/O LETRAS POR PAGAR  C/ CHEQUE SOLES AL 01-04-2011</t>
  </si>
  <si>
    <t>FT/001-000941/000940</t>
  </si>
  <si>
    <t>BCP 9855024</t>
  </si>
  <si>
    <t>SERVICIOS GRUAS Y MONTACARGAS SAC</t>
  </si>
  <si>
    <t>FT/005-026832</t>
  </si>
  <si>
    <t>BCP 9855025</t>
  </si>
  <si>
    <t>RXH 003-000291</t>
  </si>
  <si>
    <t>BCP 9855026</t>
  </si>
  <si>
    <t>MOISES FEDERICO PEREZ MORON</t>
  </si>
  <si>
    <t>VERIFICACION DE OBRAS</t>
  </si>
  <si>
    <t>EN CUSTODIA CON AMALIA</t>
  </si>
  <si>
    <t>BCP 9855027</t>
  </si>
  <si>
    <t>MARIO JULIO LOPEZ JULCA</t>
  </si>
  <si>
    <t>GESTIONES ADMINISTRATIVAS DE DECLARACION DE FABRICA</t>
  </si>
  <si>
    <t>FT/002-000174</t>
  </si>
  <si>
    <t>BCP 9855028</t>
  </si>
  <si>
    <t>COFESA &amp; ASOCIADOS SAC</t>
  </si>
  <si>
    <t>REDONDO LISO</t>
  </si>
  <si>
    <t>FT/002-000177</t>
  </si>
  <si>
    <t>BCP 9855029</t>
  </si>
  <si>
    <t>REDONDO LISO /  ANGULO</t>
  </si>
  <si>
    <t>FT/002-000194</t>
  </si>
  <si>
    <t>BCP 9855030</t>
  </si>
  <si>
    <t>REDONDO LISO /  PLATINA</t>
  </si>
  <si>
    <t>FT/002-000190</t>
  </si>
  <si>
    <t>BCP 9855031</t>
  </si>
  <si>
    <t>FT/002-000186</t>
  </si>
  <si>
    <t>BCP 9855032</t>
  </si>
  <si>
    <t>FT/002-000180</t>
  </si>
  <si>
    <t>BCP 9855033</t>
  </si>
  <si>
    <t>REDONDO LISO /  HOJAS SIERRA</t>
  </si>
  <si>
    <t>FT/002-000183</t>
  </si>
  <si>
    <t>BCP 9855034</t>
  </si>
  <si>
    <t>RET.JUD.</t>
  </si>
  <si>
    <t>BCP 9855035</t>
  </si>
  <si>
    <t>EVELYNNE YZAMAR ACEVEDO RODRIGUEZ</t>
  </si>
  <si>
    <t>RET. JUD. UTILIDAD.- SEGURA SOLIS MIGUEL ANGEL</t>
  </si>
  <si>
    <t>BCP 9855036</t>
  </si>
  <si>
    <t>JEANY CORDOVA  CHAVEZ</t>
  </si>
  <si>
    <t>RET. JUD. UTILIDAD.- TERRONES DOMINGUEZ MIGUEL ANGEL</t>
  </si>
  <si>
    <t>REC B-84240232</t>
  </si>
  <si>
    <t>BCP 9855037</t>
  </si>
  <si>
    <t>CANC CONSUMO MARZO</t>
  </si>
  <si>
    <t>FT/001-000066-000076-000075</t>
  </si>
  <si>
    <t>BCP 9855038</t>
  </si>
  <si>
    <t>LUMINARIA,REFLECTORES.ETC</t>
  </si>
  <si>
    <t xml:space="preserve">LIQ. </t>
  </si>
  <si>
    <t>BCP 9855039</t>
  </si>
  <si>
    <t>LIQUIDACION GASTOS  ASIST. GG</t>
  </si>
  <si>
    <t>BCP 9855040</t>
  </si>
  <si>
    <t>EDUARDO ALFONSO DEL CASTILLO</t>
  </si>
  <si>
    <t>LIQUIDACION GASTOS  SR. EDUARDO DEL CASTILLO</t>
  </si>
  <si>
    <t>BBVA 2307</t>
  </si>
  <si>
    <t>UGO PAUL MENDOZA SCHEGGIA</t>
  </si>
  <si>
    <t xml:space="preserve">LIQ. UTILIDADES 2010 </t>
  </si>
  <si>
    <t>REC B-84240392</t>
  </si>
  <si>
    <t>BBVA 2308</t>
  </si>
  <si>
    <t>CONSUMO MARZO 2011 - OMICRON  MZ K LT 2</t>
  </si>
  <si>
    <t>BBVA 2309</t>
  </si>
  <si>
    <t>CATHERINE GURMENDI ESPINOZA</t>
  </si>
  <si>
    <t>REEMB. CAJA CHICA 007/2011</t>
  </si>
  <si>
    <t>CARTA DE LETRAS Y/O RECIBOS POR PAGAR - SOLES AL 01-04-11</t>
  </si>
  <si>
    <t>REC-VARIOS</t>
  </si>
  <si>
    <t>MOVISTAR</t>
  </si>
  <si>
    <t>MIMSA 044-11</t>
  </si>
  <si>
    <t>FACTURAS Y/O LETRAS POR PAGAR  C/ CHEQUE AL 01-04-2011</t>
  </si>
  <si>
    <t>BCP 9855041</t>
  </si>
  <si>
    <t>LIQ MERCHOR Nº ORDEN 2011/269 TATA SIN/40003314 FR#15192</t>
  </si>
  <si>
    <t>BCP 9946381</t>
  </si>
  <si>
    <t>BCP 9855042</t>
  </si>
  <si>
    <t>LIQ MERCHOR Nº ORDEN 2011/380 CERAMICA SANTA TEREZINHA CST-5926/11 FR#15302</t>
  </si>
  <si>
    <t>BCP 9946380</t>
  </si>
  <si>
    <t>ARANCELES-ROMAGNOLE F/039/11 FR#15812</t>
  </si>
  <si>
    <t>BCP 9855043</t>
  </si>
  <si>
    <t>PERCEPCION-ROMAGNOLE F/039/11 FR#15812</t>
  </si>
  <si>
    <t>BCP 9855044</t>
  </si>
  <si>
    <t>ARANCELES - ROMAGNOLE F/039/11 FR#15812</t>
  </si>
  <si>
    <t>PERCEPCION - ROMAGNOLE F/039/11 FR#15812</t>
  </si>
  <si>
    <t>004-001232</t>
  </si>
  <si>
    <t>AISLADORES PORTAFUSIBLES</t>
  </si>
  <si>
    <t>001-000540</t>
  </si>
  <si>
    <t>001-000127</t>
  </si>
  <si>
    <t>001-002635</t>
  </si>
  <si>
    <t>FT/001-000393</t>
  </si>
  <si>
    <t>BCP 6</t>
  </si>
  <si>
    <t>FACTURAS POR PAGAR TELECREDITO DOLARES 01-04-2011</t>
  </si>
  <si>
    <t>001-0063711</t>
  </si>
  <si>
    <t>IMPORTADORA FERRETERA Y SOLDADURA S.A.</t>
  </si>
  <si>
    <t>LIMA, HOJA DE SIERRA Y DISCO DE CORTE</t>
  </si>
  <si>
    <t>001-0040624</t>
  </si>
  <si>
    <t>REFRACTARIOS Y CRISOLES SA</t>
  </si>
  <si>
    <t>GRAIN REFINER</t>
  </si>
  <si>
    <t>001-001528</t>
  </si>
  <si>
    <t>MAQUISERVICIOS PERU SAC</t>
  </si>
  <si>
    <t>SERVICIOS CORRECTIVOS</t>
  </si>
  <si>
    <t>001-001538</t>
  </si>
  <si>
    <t>REPARACION AL SISTEMA DE EMBRAGUE</t>
  </si>
  <si>
    <t>002-0003680</t>
  </si>
  <si>
    <t>SERVICIO DE ROSCADO</t>
  </si>
  <si>
    <t>001-0048937</t>
  </si>
  <si>
    <t>GRAPA TIPO PISTOLA</t>
  </si>
  <si>
    <t>C-671</t>
  </si>
  <si>
    <t>POLIZA IMPORTACION C-671</t>
  </si>
  <si>
    <t>C-670</t>
  </si>
  <si>
    <t>POLIZA IMPORTACION C-670</t>
  </si>
  <si>
    <t>001-002733</t>
  </si>
  <si>
    <t>GRAPAS DE SUSPENSION Y ANCLAJE</t>
  </si>
  <si>
    <t>001-0057934</t>
  </si>
  <si>
    <t>CONTRATO DE ARREND. CUOTA 10/48</t>
  </si>
  <si>
    <t>001-0057933</t>
  </si>
  <si>
    <t>CONTRATO DE ARREND. CUOTA 19/48</t>
  </si>
  <si>
    <t>FACTURAS Y/O LETRAS POR PAGAR  C/ CHEQUE DOLARES AL 01-04-11</t>
  </si>
  <si>
    <t>FT/001-0000352</t>
  </si>
  <si>
    <t>BCP 9946379</t>
  </si>
  <si>
    <t>B&amp;B ASOCIADOS PERU SAC</t>
  </si>
  <si>
    <t>SERVICIO DE EROSIONADO</t>
  </si>
  <si>
    <t>FT/ 001-002947</t>
  </si>
  <si>
    <t>BCP 9946378</t>
  </si>
  <si>
    <t>HERRAMIENTAS  INDUSTRIALES  CATV  SAC</t>
  </si>
  <si>
    <t>LIMATONES DIAMANTE</t>
  </si>
  <si>
    <t>FT/ 003-001831</t>
  </si>
  <si>
    <t>BBVA 2066</t>
  </si>
  <si>
    <t>ICE INGENIEROS CONSULTORES Y EJECUTORES SA</t>
  </si>
  <si>
    <t>SERVICIO DE ALQUILER DE GRUA</t>
  </si>
  <si>
    <t>HSBC 272055</t>
  </si>
  <si>
    <t>INTERESESXAMORTIZ # 1 L/3844 V.22,03,11 CASAS INGENIEROS</t>
  </si>
  <si>
    <t>CARTA DE LETRAS Y/O RECIBOS POR PAGAR - DOLARES AL 01-04-11</t>
  </si>
  <si>
    <t>L/2011,02,344</t>
  </si>
  <si>
    <t>MIMSA 045-11</t>
  </si>
  <si>
    <t>L/221529-00</t>
  </si>
  <si>
    <t>MIMSA 046-11</t>
  </si>
  <si>
    <t>FACTURAS POR PAGAR TELECREDITO SOLES 08-04-2011</t>
  </si>
  <si>
    <t>001-0003460</t>
  </si>
  <si>
    <t xml:space="preserve">CALIBRADOR O VERNIER DIGITAL </t>
  </si>
  <si>
    <t>001-000348</t>
  </si>
  <si>
    <t>001-000568</t>
  </si>
  <si>
    <t>RIALU SYSTEMS SRL</t>
  </si>
  <si>
    <t>PULSADORES DE EMERGENCIA</t>
  </si>
  <si>
    <t>FACTURAS Y/O LETRAS POR PAGAR  C/ CHEQUE SOLES AL 08-04-2011</t>
  </si>
  <si>
    <t>REC B-84386992</t>
  </si>
  <si>
    <t>BCP 9855045</t>
  </si>
  <si>
    <t>CONSUMO MARZO - OMICRON 105</t>
  </si>
  <si>
    <t>FT/ 001-000304</t>
  </si>
  <si>
    <t>BCP 9855046</t>
  </si>
  <si>
    <t>FT/001-000967</t>
  </si>
  <si>
    <t>BCP 9855048</t>
  </si>
  <si>
    <t>ALUILER DE MONTACARGAS</t>
  </si>
  <si>
    <t>FT/001-00051</t>
  </si>
  <si>
    <t>BCP 9855050</t>
  </si>
  <si>
    <t>PyF SERVITRANSPORTES SAC</t>
  </si>
  <si>
    <t xml:space="preserve">RET. JUD. </t>
  </si>
  <si>
    <t>BBVA 2310</t>
  </si>
  <si>
    <t>JEANY CORDOVA CHAVEZ</t>
  </si>
  <si>
    <t>RET JUD. A REMUNER. - MIGUEL TERRONES</t>
  </si>
  <si>
    <t>BBVA 2311</t>
  </si>
  <si>
    <t>RET JUD. A LIQ. BB SS - MIGUEL TERRONES</t>
  </si>
  <si>
    <t>LIQ.</t>
  </si>
  <si>
    <t>BBVA 2312</t>
  </si>
  <si>
    <t>KARINA JASMIN JUAREZ OVALLE</t>
  </si>
  <si>
    <t xml:space="preserve">LIQ. BB SS </t>
  </si>
  <si>
    <t>REEMB.</t>
  </si>
  <si>
    <t>BCP 9855261</t>
  </si>
  <si>
    <t>REEMB. CAJA CHICA 008/2011 - 04,04,11</t>
  </si>
  <si>
    <t>RECHAZADO</t>
  </si>
  <si>
    <t>CARTA DE LETRAS Y/O RECIBOS POR PAGAR - SOLES AL 08-04-11</t>
  </si>
  <si>
    <t>L/4587</t>
  </si>
  <si>
    <t>MIMSA 49-11</t>
  </si>
  <si>
    <t>FACTURAS Y/O LETRAS POR PAGAR  C/ CHEQUE AL 08-04-2011</t>
  </si>
  <si>
    <t>BBVA 2260</t>
  </si>
  <si>
    <t>FLETE-CERAMICA STA TEREZINHA-F/CST-5942 FR#15750</t>
  </si>
  <si>
    <t>BBVA 2407</t>
  </si>
  <si>
    <t>BCP 9855253</t>
  </si>
  <si>
    <t>ARANCELES-ZHEJIANG HONG TIAN F/ 10HT631005 FR# 15722</t>
  </si>
  <si>
    <t>BCP 9855254</t>
  </si>
  <si>
    <t>BCP 9855255</t>
  </si>
  <si>
    <t>ARANCELES - NINGBO YINZHOU F/DYRI11314 FR#15595</t>
  </si>
  <si>
    <t>BCP 9855256</t>
  </si>
  <si>
    <t>BCP 9855257</t>
  </si>
  <si>
    <t>BCP 9855258</t>
  </si>
  <si>
    <t>001-000966</t>
  </si>
  <si>
    <t>SERV. ALQUILER DE MONTACARGA</t>
  </si>
  <si>
    <t>001-000968</t>
  </si>
  <si>
    <t>001-000969</t>
  </si>
  <si>
    <t>FT/001-000069</t>
  </si>
  <si>
    <t>BCP 7</t>
  </si>
  <si>
    <t>FT/001-000363</t>
  </si>
  <si>
    <t>BCP 8</t>
  </si>
  <si>
    <t>TRANSPORTES Y SREVICIOS GyG SAC</t>
  </si>
  <si>
    <t>JET AIR SERVICE PERU SAC</t>
  </si>
  <si>
    <t>HANDLING-TATA STEEL F/SIN/1000001 FR#16001</t>
  </si>
  <si>
    <t>FACTURAS POR PAGAR TELECREDITO DOLARES 08-04-2011</t>
  </si>
  <si>
    <t>002-43899</t>
  </si>
  <si>
    <t>PINTURAS DURON  SR LTDA.</t>
  </si>
  <si>
    <t>THINER  ACRILICO</t>
  </si>
  <si>
    <t>FACTURAS Y/O LETRAS POR PAGAR  C/ CHEQUE DOLARES AL 08-04-11</t>
  </si>
  <si>
    <t>LT/221510-00</t>
  </si>
  <si>
    <t>BCP 9946384</t>
  </si>
  <si>
    <t>VARILLA REDONDO LISO</t>
  </si>
  <si>
    <t>FT/001-000157</t>
  </si>
  <si>
    <t>BCP 9946386</t>
  </si>
  <si>
    <t>MAFER CONSULTORES Y EJECUTORES S.A.C.</t>
  </si>
  <si>
    <t>ASESORIA TECNICA PROY. DE ELECTR. GRUPO 10</t>
  </si>
  <si>
    <t>CARTA DE LETRAS Y/O RECIBOS POR PAGAR - DOLARES AL 08-04-11</t>
  </si>
  <si>
    <t>L   S/N</t>
  </si>
  <si>
    <t>CONSTRUCCIONES ELECTROMECANICAS DELCROSA SA</t>
  </si>
  <si>
    <t>MIMSA 47-11</t>
  </si>
  <si>
    <t>LT/11-1045 / 11-1046</t>
  </si>
  <si>
    <t>TRADI SA</t>
  </si>
  <si>
    <t>SCTBK</t>
  </si>
  <si>
    <t>MIMSA 48-11</t>
  </si>
  <si>
    <t>L/2011,02,172</t>
  </si>
  <si>
    <t>MIMSA 051-11</t>
  </si>
  <si>
    <t>L/2011,03,357</t>
  </si>
  <si>
    <t>MIMSA 052-11</t>
  </si>
  <si>
    <t>L/221550-00</t>
  </si>
  <si>
    <t>ABINSUR SAC</t>
  </si>
  <si>
    <t>MIMSA 054-11</t>
  </si>
  <si>
    <t>L/5140</t>
  </si>
  <si>
    <t>DISTR. DE PLANCHAS METALICAS SAC</t>
  </si>
  <si>
    <t>MIMSA 050-11 - PAFE</t>
  </si>
  <si>
    <t>FACTURAS POR PAGAR TELECREDITO SOLES 15-04-2011</t>
  </si>
  <si>
    <t>043-0210640</t>
  </si>
  <si>
    <t>1 BALON 45 KG  GLP</t>
  </si>
  <si>
    <t>043-0211347</t>
  </si>
  <si>
    <t>2 BALON 45 KG  GLP</t>
  </si>
  <si>
    <t>043-0211260</t>
  </si>
  <si>
    <t>043-0209658</t>
  </si>
  <si>
    <t>3 BALON 45 KG  GLP</t>
  </si>
  <si>
    <t>043-0210921</t>
  </si>
  <si>
    <t>001-0022321</t>
  </si>
  <si>
    <t>ARTICULOS DE SEGURIDAD</t>
  </si>
  <si>
    <t>002-0017097</t>
  </si>
  <si>
    <t>ACEROS BOEHLER DEL PERU SA</t>
  </si>
  <si>
    <t>SERV DE TEMPLE Y REVENIDO DUREZA</t>
  </si>
  <si>
    <t>001-00049</t>
  </si>
  <si>
    <t>P Y F SERVITRANSPORTES SAC</t>
  </si>
  <si>
    <t>SERV. DE TRANSPORTE</t>
  </si>
  <si>
    <t>001-022322</t>
  </si>
  <si>
    <t>SOLDADURA, BROCA, ETC</t>
  </si>
  <si>
    <t>001-014469</t>
  </si>
  <si>
    <t>CASTABLE</t>
  </si>
  <si>
    <t>001-0003457</t>
  </si>
  <si>
    <t>LIMAS</t>
  </si>
  <si>
    <t>756-0009551</t>
  </si>
  <si>
    <t>1 BALON 15 KG  GLP</t>
  </si>
  <si>
    <t>756-0009524</t>
  </si>
  <si>
    <t>2 BALON 15 KG  GLP</t>
  </si>
  <si>
    <t>756-0009601</t>
  </si>
  <si>
    <t>756-0009496</t>
  </si>
  <si>
    <t>3 BALON 15 KG  GLP</t>
  </si>
  <si>
    <t>026-00576</t>
  </si>
  <si>
    <t>026-00574</t>
  </si>
  <si>
    <t>026-00575</t>
  </si>
  <si>
    <t>FACTURAS Y/O LETRAS POR PAGAR  C/ CHEQUE SOLES AL 15-04-2011</t>
  </si>
  <si>
    <t>001-000296</t>
  </si>
  <si>
    <t>TOP DEKO SAC</t>
  </si>
  <si>
    <t>SERV. DE INSTALACION DE PERSIANAS</t>
  </si>
  <si>
    <t>001-000269</t>
  </si>
  <si>
    <t>MPC ELECTRIC S.R.L.</t>
  </si>
  <si>
    <t>CONMUTADOR</t>
  </si>
  <si>
    <t>001-006210</t>
  </si>
  <si>
    <t>PROVEEDORES ASOCIADOS FABRICANTES SAC</t>
  </si>
  <si>
    <t>EXTINTOR</t>
  </si>
  <si>
    <t>001-5318</t>
  </si>
  <si>
    <t>LUBRICANTES PANDO TANTALEAN SR LTDA</t>
  </si>
  <si>
    <t>100KG DE LUBRICANTE</t>
  </si>
  <si>
    <t>BCP 9855272</t>
  </si>
  <si>
    <t>BANCO DE CREDITO / SENATI</t>
  </si>
  <si>
    <t>PAGO A SENATI</t>
  </si>
  <si>
    <t>BCP 9855274</t>
  </si>
  <si>
    <t>A RENDIR</t>
  </si>
  <si>
    <t>BCP 9855275</t>
  </si>
  <si>
    <t>BCP 9855276</t>
  </si>
  <si>
    <t>BCP 9855277</t>
  </si>
  <si>
    <t>BCP 9855278</t>
  </si>
  <si>
    <t>BCP 9855279</t>
  </si>
  <si>
    <t>ILIANA AMALIA KARIM MENDOZA SCHEGGIA</t>
  </si>
  <si>
    <t>A RENDIR  CAMPEONATO</t>
  </si>
  <si>
    <t>BCP 9855273</t>
  </si>
  <si>
    <t>BANCO DE LA NACION</t>
  </si>
  <si>
    <t>RENOV DE CONTRATOS</t>
  </si>
  <si>
    <t>X FIRMAR</t>
  </si>
  <si>
    <t>CARTA DE LETRAS Y/O RECIBOS POR PAGAR - SOLES AL 15-04-11</t>
  </si>
  <si>
    <t>REC L00-46152457</t>
  </si>
  <si>
    <t>CONSUMO MES DE MARZO 2011</t>
  </si>
  <si>
    <t>FACTURAS Y/O LETRAS POR PAGAR  C/ CHEQUE AL 15-04-2011</t>
  </si>
  <si>
    <t>BCP 9855267</t>
  </si>
  <si>
    <t>CERAMICA STA TERESINHA</t>
  </si>
  <si>
    <t>ARANCELES-CERAMICA SANTA TEREZINHA F/CST-5942/11 FR#15750</t>
  </si>
  <si>
    <t>BCP 9855268</t>
  </si>
  <si>
    <t>PERCEPCION-CERAMICA SANTA TEREZINHA F/CST-5942/11 FR#15750</t>
  </si>
  <si>
    <t>BCP 9855269</t>
  </si>
  <si>
    <t>TATA STEEL</t>
  </si>
  <si>
    <t>ARANCELES-TATA STEEL F/.SIN/1000001 FR# 16001</t>
  </si>
  <si>
    <t>BCP 9855270</t>
  </si>
  <si>
    <t>PERCEPCION-TATA STEEL F/.SIN/1000001 FR# 16001</t>
  </si>
  <si>
    <t>BCP 9946388</t>
  </si>
  <si>
    <t>APM GLOBAL LOGISTICS PERU SA</t>
  </si>
  <si>
    <t>FLETE- CECEC NANJING F/11E308Z FR# 15749</t>
  </si>
  <si>
    <t>SCTBK 96354207</t>
  </si>
  <si>
    <t>W. MERCHOR SAC</t>
  </si>
  <si>
    <t xml:space="preserve">LIQ. Nº ORDEN 2011/351 </t>
  </si>
  <si>
    <t>SCTBK 96354206</t>
  </si>
  <si>
    <t>LIQ. Nº ORDEN 2011/471</t>
  </si>
  <si>
    <t>SCTBK 96660552</t>
  </si>
  <si>
    <t>FACTURAS POR PAGAR TELECREDITO DOLARES 15-04-2011</t>
  </si>
  <si>
    <t>C-682</t>
  </si>
  <si>
    <t>EL PACIFICO PERUANO SUIZA CIA DE SEGUROS Y REASEGUROS</t>
  </si>
  <si>
    <t>PAGO POLIZA</t>
  </si>
  <si>
    <t>001-0053209</t>
  </si>
  <si>
    <t>RICH OIL SA</t>
  </si>
  <si>
    <t>001-006304</t>
  </si>
  <si>
    <t>BALDES DE GRASA</t>
  </si>
  <si>
    <t>002-014654</t>
  </si>
  <si>
    <t>ALAMBRE MIG</t>
  </si>
  <si>
    <t>001-000734</t>
  </si>
  <si>
    <t>DADO DE CARBURO</t>
  </si>
  <si>
    <t>001-14470</t>
  </si>
  <si>
    <t>LADRILLO REFRACTARIO</t>
  </si>
  <si>
    <t>001-026321</t>
  </si>
  <si>
    <t>TUBO DE PVC</t>
  </si>
  <si>
    <t>FACTURAS Y/O LETRAS POR PAGAR  C/ CHEQUE DOLARES AL 15-04-11</t>
  </si>
  <si>
    <t>FT 001-001008</t>
  </si>
  <si>
    <t>TECNOLOGIA Y SERVICIOS CALIFICADOS SAC</t>
  </si>
  <si>
    <t>CARTA DE LETRAS Y/O RECIBOS POR PAGAR - DOLARES AL 15-04-11</t>
  </si>
  <si>
    <t>FACTURAS POR PAGAR TELECREDITO SOLES 25-04-2011</t>
  </si>
  <si>
    <t>SERV DE INSTALACION DE PERSIANAS</t>
  </si>
  <si>
    <t>002-014623</t>
  </si>
  <si>
    <t>FERROLINE</t>
  </si>
  <si>
    <t>002-014650</t>
  </si>
  <si>
    <t>FERROLINE - OXIGENO</t>
  </si>
  <si>
    <t>001-0140374</t>
  </si>
  <si>
    <t>ACERO</t>
  </si>
  <si>
    <t>001-0140983</t>
  </si>
  <si>
    <t>001-0139895</t>
  </si>
  <si>
    <t>001-000589</t>
  </si>
  <si>
    <t>18-AGUA 20LTS</t>
  </si>
  <si>
    <t>001-000187</t>
  </si>
  <si>
    <t>001-000590</t>
  </si>
  <si>
    <t>001-014605</t>
  </si>
  <si>
    <t>CASTABLE SUPER EC-42</t>
  </si>
  <si>
    <t>143-0006434</t>
  </si>
  <si>
    <t>MAESTRO PERU SA</t>
  </si>
  <si>
    <t xml:space="preserve">SILLA OPERATIVA </t>
  </si>
  <si>
    <t>001-0077988</t>
  </si>
  <si>
    <t>CIA. COMERCIAL INDUSTRIAL PRUANO SUECA SA</t>
  </si>
  <si>
    <t xml:space="preserve">ACERO </t>
  </si>
  <si>
    <t>001-0077989</t>
  </si>
  <si>
    <t>001-0006843</t>
  </si>
  <si>
    <t>TRATAR PERU SAC</t>
  </si>
  <si>
    <t>SERV. DE TEMPLE</t>
  </si>
  <si>
    <t>043-0211969</t>
  </si>
  <si>
    <t>45KG GLP</t>
  </si>
  <si>
    <t>756-0009625</t>
  </si>
  <si>
    <t>3 BL 15 KG</t>
  </si>
  <si>
    <t>756-0009653</t>
  </si>
  <si>
    <t>2 BL 15 KG</t>
  </si>
  <si>
    <t>FACTURAS Y/O LETRAS POR PAGAR  C/ CHEQUE SOLES AL 22-04-2011</t>
  </si>
  <si>
    <t>FT/001-000269</t>
  </si>
  <si>
    <t>BCP 9855281</t>
  </si>
  <si>
    <t>x firmar</t>
  </si>
  <si>
    <t>FT/001-005318</t>
  </si>
  <si>
    <t>BCP 9855282</t>
  </si>
  <si>
    <t>FT/001-000322</t>
  </si>
  <si>
    <t>BCP 9855283</t>
  </si>
  <si>
    <t>TRANSPORTES Y SERVICIOS GyG SAC</t>
  </si>
  <si>
    <t>SERV. DE TRANSPORTE LOCAL</t>
  </si>
  <si>
    <t>FT/ 001-003218</t>
  </si>
  <si>
    <t>BCP 9855284</t>
  </si>
  <si>
    <t>VILLENA FIGUEROA ROSA AMELIA</t>
  </si>
  <si>
    <t>SERV. DE REPARACION</t>
  </si>
  <si>
    <t>FT/001-000142</t>
  </si>
  <si>
    <t>BCP 9855285</t>
  </si>
  <si>
    <t>GRAFICA MERCURIO EIRL</t>
  </si>
  <si>
    <t xml:space="preserve">LETRAS AUTOCOPIATIVAS </t>
  </si>
  <si>
    <t>DEVOLVER FACTURAS A CARMEN TRUJILLO,SE ANULARAN</t>
  </si>
  <si>
    <t>FT/001-004443</t>
  </si>
  <si>
    <t>BCP 9855286</t>
  </si>
  <si>
    <t>VICTOR WILFREDO JURADO CUCHO</t>
  </si>
  <si>
    <t>SERV DE TRANSPORTE</t>
  </si>
  <si>
    <t>RxH/001-000651</t>
  </si>
  <si>
    <t>BCP 9855287</t>
  </si>
  <si>
    <t>UBALDO WILFREDO RAMIREZ LITUMA</t>
  </si>
  <si>
    <t>CURSO CAPACITACION</t>
  </si>
  <si>
    <t>FT/004-001237</t>
  </si>
  <si>
    <t>BCP 9855288</t>
  </si>
  <si>
    <t>BCP 9855289</t>
  </si>
  <si>
    <t>REEMB. CAJA CHICA 009/2011</t>
  </si>
  <si>
    <t>IMPUESTOS</t>
  </si>
  <si>
    <t>BCP 9855271</t>
  </si>
  <si>
    <t>ONP, ESSALUD, RTA 4TA Y 5TA</t>
  </si>
  <si>
    <t>BCP 9855290</t>
  </si>
  <si>
    <t>ITAN MARZO 2011</t>
  </si>
  <si>
    <t>CARTA DE LETRAS Y/O RECIBOS POR PAGAR - SOLES AL 22-04-11</t>
  </si>
  <si>
    <t>FACTURAS Y/O LETRAS POR PAGAR  C/ CHEQUE AL 22-04-2011</t>
  </si>
  <si>
    <t>BCP 98552591</t>
  </si>
  <si>
    <t>CG TRADING F/CG110216 FR# 15594</t>
  </si>
  <si>
    <t>DERECHOS</t>
  </si>
  <si>
    <t>BCP 98552592</t>
  </si>
  <si>
    <t>PERCEPCION</t>
  </si>
  <si>
    <t>FACTURAS POR PAGAR TELECREDITO SOLES 22-04-2011</t>
  </si>
  <si>
    <t>001-000433</t>
  </si>
  <si>
    <t>10 -AGUA 20LTS</t>
  </si>
  <si>
    <t>001-000957</t>
  </si>
  <si>
    <t>10-AGUA 20LTS</t>
  </si>
  <si>
    <t>001-970,966, 968, 969</t>
  </si>
  <si>
    <t>BCP 0009</t>
  </si>
  <si>
    <t>001-000329, 000400</t>
  </si>
  <si>
    <t>BCP 0010</t>
  </si>
  <si>
    <t>SERVICIO DE TRANSPORTE LOCAL</t>
  </si>
  <si>
    <t>FACTURAS POR PAGAR TELECREDITO DOLARES 22-04-2011</t>
  </si>
  <si>
    <t>001-0052769</t>
  </si>
  <si>
    <t>PROGRAMA DE FLUIDOS DEODORIZANTES</t>
  </si>
  <si>
    <t>001-026297</t>
  </si>
  <si>
    <t>TUBOS DE PVC</t>
  </si>
  <si>
    <t>001-0246668</t>
  </si>
  <si>
    <t>001-014606</t>
  </si>
  <si>
    <t>LADRILLO Y PLASTICO REFRACT.</t>
  </si>
  <si>
    <t>001-001815</t>
  </si>
  <si>
    <t>ACEITES</t>
  </si>
  <si>
    <t>FACTURAS Y/O LETRAS POR PAGAR  C/ CHEQUE DOLARES AL 22-04-11</t>
  </si>
  <si>
    <t>FT/ 005-026940, 027158, 026639</t>
  </si>
  <si>
    <t>SERV DE ALQUILER DE MONTACARGA</t>
  </si>
  <si>
    <t>FT/ 001-004900, 004840</t>
  </si>
  <si>
    <t>ELOY VEGA R. é HIJOS EIRL</t>
  </si>
  <si>
    <t>MATRICES , PERNOS</t>
  </si>
  <si>
    <t>CARTA DE LETRAS Y/O RECIBOS POR PAGAR - DOLARES AL 22-04-11</t>
  </si>
  <si>
    <t>L/2011.02.418</t>
  </si>
  <si>
    <t>L/2011.02.419</t>
  </si>
  <si>
    <t>L/5149</t>
  </si>
  <si>
    <t>DISTRIBUIDORA DE PLANCHAS METALICAS S.A.C.</t>
  </si>
  <si>
    <t>L/2011,03,280</t>
  </si>
  <si>
    <t>L/2011.02.453</t>
  </si>
  <si>
    <t>L/2011.03.309</t>
  </si>
  <si>
    <t>TELEFONICA MOVILES SA</t>
  </si>
  <si>
    <t>NUMEROS 975587119, 975145537, 971154174, 994547591</t>
  </si>
  <si>
    <t>FACTURAS POR PAGAR TELECREDITO SOLES 04-11-2011</t>
  </si>
  <si>
    <t>065-0075910</t>
  </si>
  <si>
    <t>05 CAR ALUMINIO ENVASADO GLP</t>
  </si>
  <si>
    <t>043-0221627</t>
  </si>
  <si>
    <t>01 CAR ALUMINIO ENVASADO GLP</t>
  </si>
  <si>
    <t>065-0075574</t>
  </si>
  <si>
    <t>03 CAR ALUMINIO ENVASADO GLP</t>
  </si>
  <si>
    <t>900-0011185</t>
  </si>
  <si>
    <t>380 GLNS DE GLP</t>
  </si>
  <si>
    <t>001-001298</t>
  </si>
  <si>
    <t>CURVAS PLASTICAS 3/4"</t>
  </si>
  <si>
    <t>001-003242</t>
  </si>
  <si>
    <t xml:space="preserve">06 BIDONES DE AGUA </t>
  </si>
  <si>
    <t>001-003241</t>
  </si>
  <si>
    <t xml:space="preserve">15 BIDONES DE AGUA </t>
  </si>
  <si>
    <t>001-002689</t>
  </si>
  <si>
    <t>MATEO ARNALDO SANCHEZ JARA</t>
  </si>
  <si>
    <t>VALVULA DE BOLA DE 1/2" PN40</t>
  </si>
  <si>
    <t>FACTURAS POR PAGAR TELECREDITO DOLARES 04-11-2011</t>
  </si>
  <si>
    <t>C-803</t>
  </si>
  <si>
    <t>EL PACIFICO PERUANO SUIZA CIA SEGUROS</t>
  </si>
  <si>
    <t>POLIZA IMPORTACION C-803</t>
  </si>
  <si>
    <t>FACTURAS POR PAGAR TELECREDITO SOLES 11-11-2011</t>
  </si>
  <si>
    <t>001-4792</t>
  </si>
  <si>
    <t>SAMEX S.A.C.</t>
  </si>
  <si>
    <t>LIMPIEZA Y DESINFECCION</t>
  </si>
  <si>
    <t>001-4794</t>
  </si>
  <si>
    <t>001-4793</t>
  </si>
  <si>
    <t>043-221625</t>
  </si>
  <si>
    <t>15 KG ALUMINIO ENVASADO</t>
  </si>
  <si>
    <t>NC 001-63260</t>
  </si>
  <si>
    <t>DIFERENCIA DE PRECIO</t>
  </si>
  <si>
    <t>043-219046</t>
  </si>
  <si>
    <t>001-3044</t>
  </si>
  <si>
    <t>DISOLVENTE DIELECTRICO</t>
  </si>
  <si>
    <t>001-21907</t>
  </si>
  <si>
    <t>INV. Y SERV. DE LOS ANDES SRL</t>
  </si>
  <si>
    <t>HOLD ANNOUNCER</t>
  </si>
  <si>
    <t>001-609</t>
  </si>
  <si>
    <t>PATRICK´S INVERSIONES EIRL</t>
  </si>
  <si>
    <t>001-608</t>
  </si>
  <si>
    <t>CONECTOR DE BRONCE</t>
  </si>
  <si>
    <t>143-8746</t>
  </si>
  <si>
    <t>MAESTRO PERU S.A.</t>
  </si>
  <si>
    <t>ARENA GRUESA, PIEDRA, CEMENTO</t>
  </si>
  <si>
    <t>002-15889</t>
  </si>
  <si>
    <t>FACTURAS Y/O LETRAS POR PAGAR  C/ CHEQUE SOLES AL 11-11-2011</t>
  </si>
  <si>
    <t>F/001-1349</t>
  </si>
  <si>
    <t>SCTBK 83143992</t>
  </si>
  <si>
    <t>SERV. Y ALQ. DE MONTACARGA</t>
  </si>
  <si>
    <t>F/0001-004774</t>
  </si>
  <si>
    <t>SCTBK 83143993</t>
  </si>
  <si>
    <t>JURADO CUCHO VICTOR WILFREDO</t>
  </si>
  <si>
    <t>F/0005-029413</t>
  </si>
  <si>
    <t>SCTBK 83143994</t>
  </si>
  <si>
    <t>SERVICIOS DE MONTACARGA</t>
  </si>
  <si>
    <t>OBSERVADO</t>
  </si>
  <si>
    <t>REC B-92253614</t>
  </si>
  <si>
    <t>SCTBK 83143995</t>
  </si>
  <si>
    <t>CONSUMO OCTUBRE 2011-OMICRON 105</t>
  </si>
  <si>
    <t>LIQUIDACION</t>
  </si>
  <si>
    <t>SCTBK 83143996</t>
  </si>
  <si>
    <t>MUNICIPALIDAD PROVINCIAL DEL CALLAO</t>
  </si>
  <si>
    <t>ARBITRIOS OCT-NOV-DIC 2011-OMICRON 643</t>
  </si>
  <si>
    <t>BCP 9855586</t>
  </si>
  <si>
    <t>APORTE MES OCT 2011</t>
  </si>
  <si>
    <t>REC L00-48076650</t>
  </si>
  <si>
    <t>BCP 9855587</t>
  </si>
  <si>
    <t>CONSUMO OCT 2011-TELEFONICA MULTIMEDIA SAC</t>
  </si>
  <si>
    <t>LIQ 028/2011</t>
  </si>
  <si>
    <t>BCP 9855588</t>
  </si>
  <si>
    <t>REEMBOLSO CAJA CHICA 028/2011</t>
  </si>
  <si>
    <t>BCP 9855590</t>
  </si>
  <si>
    <t>EDUARDO ALFONSO DEL CASTILLO CARRASCO</t>
  </si>
  <si>
    <t>VIATICOS X RENDIR - PRESTAMO A POSTES</t>
  </si>
  <si>
    <t>L/386</t>
  </si>
  <si>
    <t>BCP  89</t>
  </si>
  <si>
    <t>MISUJA TRAVES S.A.C.</t>
  </si>
  <si>
    <t>FACTURAS POR PAGAR TELECREDITO DOLARES 11-11-2011</t>
  </si>
  <si>
    <t>001-0512023</t>
  </si>
  <si>
    <t>VARILLA DE REDONDO PULIDO</t>
  </si>
  <si>
    <t>0001-157270</t>
  </si>
  <si>
    <t>CONDUCTORES ELECTRICOS LIMA S.A.</t>
  </si>
  <si>
    <t>CONDUCTOR AUTOPORTANTE DE ALUMINIO</t>
  </si>
  <si>
    <t>FACTURAS Y/O LETRAS POR PAGAR  C/ CHEQUE DOLARES AL 11-11-11</t>
  </si>
  <si>
    <t>BCP 9946486</t>
  </si>
  <si>
    <t>Amortiz. Letra 4056-3 v.30.10.11 Casas Ing. (con chq de MIMSA)</t>
  </si>
  <si>
    <t>FACTURAS Y/O LETRAS POR PAGAR  C/ CARTA DOLARES AL 11-11-11</t>
  </si>
  <si>
    <t>L/00-4597</t>
  </si>
  <si>
    <t>MACISA</t>
  </si>
  <si>
    <t>MIMSA 160-11</t>
  </si>
  <si>
    <t>L/3212</t>
  </si>
  <si>
    <t>FINANCIERO</t>
  </si>
  <si>
    <t>MIMSA 161-11</t>
  </si>
  <si>
    <t>L/IT-0124-2011</t>
  </si>
  <si>
    <t>I&amp;T ELECTRIC S.A.</t>
  </si>
  <si>
    <t xml:space="preserve">CONTINENTAL </t>
  </si>
  <si>
    <t>MIMSA 162-11</t>
  </si>
  <si>
    <t>L/3225</t>
  </si>
  <si>
    <t>MIMSA 164-11</t>
  </si>
  <si>
    <t>L/3234</t>
  </si>
  <si>
    <t>MIMSA 165-11</t>
  </si>
  <si>
    <t>L/100-1600</t>
  </si>
  <si>
    <t>ABINSUR</t>
  </si>
  <si>
    <t>MIMSA 163-11</t>
  </si>
  <si>
    <t>FACTURAS POR PAGAR TELECREDITO SOLES 18-11-2011</t>
  </si>
  <si>
    <t>001-002735</t>
  </si>
  <si>
    <t>SANCHEZ JARA MATEO ARNALDO</t>
  </si>
  <si>
    <t>SILICONA ROJA</t>
  </si>
  <si>
    <t>001-002738</t>
  </si>
  <si>
    <t>MANOMETRO P/OXIGENO Y ACETILENO</t>
  </si>
  <si>
    <t>001-000939</t>
  </si>
  <si>
    <t>FERRETERIA INDUSTRIAL G&amp;C EIRL</t>
  </si>
  <si>
    <t>CASCO DE SEGURIDAD</t>
  </si>
  <si>
    <t>001-000938</t>
  </si>
  <si>
    <t>002-0082180</t>
  </si>
  <si>
    <t>GRAFICA INDUSTRIAL SRL</t>
  </si>
  <si>
    <t>FORMATOS DE LETRAS DE CAMBIO</t>
  </si>
  <si>
    <t>143-0008747</t>
  </si>
  <si>
    <t>REGLA METIL Y WINCHA</t>
  </si>
  <si>
    <t>001-1494</t>
  </si>
  <si>
    <t>EDINSON MANUEL CANCHACHI VILLASANTE</t>
  </si>
  <si>
    <t>001-2651</t>
  </si>
  <si>
    <t>CONFORMACION DEL ACERO Y DERIVADOS SA</t>
  </si>
  <si>
    <t>001-7605</t>
  </si>
  <si>
    <t>MONTACARGAS ALIAGA SAC</t>
  </si>
  <si>
    <t>NC 001-63262</t>
  </si>
  <si>
    <t>043-220849</t>
  </si>
  <si>
    <t>GLP ENVASADO</t>
  </si>
  <si>
    <t>118-381229</t>
  </si>
  <si>
    <t>DUA 118-381229-CHANDAN STEEL-F/EXP/00266/11-12-FR#19215</t>
  </si>
  <si>
    <t>FACTURAS Y/O LETRAS POR PAGAR  C/ CHEQUE SOLES AL 18-11-2011</t>
  </si>
  <si>
    <t>001-4787</t>
  </si>
  <si>
    <t>BCP 9855591</t>
  </si>
  <si>
    <t>BCP 9855594</t>
  </si>
  <si>
    <t>GASTOS ADMINISTRATIVOS  ADICIONALES ENSECOR</t>
  </si>
  <si>
    <t>BCP 9855595</t>
  </si>
  <si>
    <t>BCP 9855596</t>
  </si>
  <si>
    <t>DANIEL MINAGAWA ILLESCA</t>
  </si>
  <si>
    <t>X RENDIR - TRAMITES RENOV. INDECI - OMICRON 643</t>
  </si>
  <si>
    <t>BCP 9855598</t>
  </si>
  <si>
    <t>X RENDIR - TRAMITES RENOV. INDECI - OMICRON 672</t>
  </si>
  <si>
    <t>0001-0579, 578</t>
  </si>
  <si>
    <t>BCP  90</t>
  </si>
  <si>
    <t>INDUMETAL NORTE S.A.C.</t>
  </si>
  <si>
    <t>CAJA DE DERIVACION PARA ACOMETIDAS</t>
  </si>
  <si>
    <t>001-132</t>
  </si>
  <si>
    <t>BCP  91</t>
  </si>
  <si>
    <t>INV. Y AQLUILERES REGIONALES S.A.C.</t>
  </si>
  <si>
    <t>SERV. DE ALQUILER DE GRUAS</t>
  </si>
  <si>
    <t>FACTURAS POR PAGAR TELECREDITO DOLARES 18-11-2011</t>
  </si>
  <si>
    <t>0001-016285</t>
  </si>
  <si>
    <t>J&amp;S SUMINISTROS SRL</t>
  </si>
  <si>
    <t>TONER HP Y TINTAS EPSON VARIOS MODELOS</t>
  </si>
  <si>
    <t>001-0050928</t>
  </si>
  <si>
    <t>001-0069596</t>
  </si>
  <si>
    <t>HEWLETT PACKARD PERU SRL</t>
  </si>
  <si>
    <t>CONTRATO ARRENDAMIENTO A487 AN001 CUOTA 027/48</t>
  </si>
  <si>
    <t>001-0069597</t>
  </si>
  <si>
    <t>CONTRATO ARRENDAMIENTO A487 AN002 CUOTA 018/48</t>
  </si>
  <si>
    <t>C-806</t>
  </si>
  <si>
    <t>POLIZA DE IMPORTACION C-806</t>
  </si>
  <si>
    <t>C-807</t>
  </si>
  <si>
    <t>POLIZA DE IMPORTACION C-807</t>
  </si>
  <si>
    <t>118-208412</t>
  </si>
  <si>
    <t>DUA 118-208412-IPAC-F/212776-FR#17750</t>
  </si>
  <si>
    <t>FACTURAS Y/O LETRAS POR PAGAR  C/ CHEQUE DOLARES AL 18-11-11</t>
  </si>
  <si>
    <t>008-1947 , 1946</t>
  </si>
  <si>
    <t>SCTBK 83361151</t>
  </si>
  <si>
    <t>SERV. DE MANIOBRA  DE 2 PRENSAS</t>
  </si>
  <si>
    <t>L/IT-0126-2011</t>
  </si>
  <si>
    <t>SCTBK 83361152</t>
  </si>
  <si>
    <t>I &amp; T ELECTRIC SAC</t>
  </si>
  <si>
    <t>SERV. DE PRUEBAS Y MANTENIMIENTO</t>
  </si>
  <si>
    <t>FT/ 001-11318</t>
  </si>
  <si>
    <t>SCTBK 83361153</t>
  </si>
  <si>
    <t>SERV. DE REPARACION  DE TRANSFORMADOR</t>
  </si>
  <si>
    <t>FACTURAS POR PAGAR TELECREDITO SOLES 25-11-2011</t>
  </si>
  <si>
    <t>001-0151273</t>
  </si>
  <si>
    <t>001-0026117</t>
  </si>
  <si>
    <t>BENCINA</t>
  </si>
  <si>
    <t>001-3964</t>
  </si>
  <si>
    <t>GALVANOTECNICA VALMOR SAC</t>
  </si>
  <si>
    <t>SERVICIO DE CADMIADO</t>
  </si>
  <si>
    <t>001-351</t>
  </si>
  <si>
    <t>ALEXANDRA GUZMAN GUZMAN</t>
  </si>
  <si>
    <t>TARJETAS PERSONALES</t>
  </si>
  <si>
    <t>001-350</t>
  </si>
  <si>
    <t>HOJAS DE CORTE</t>
  </si>
  <si>
    <t>001-607</t>
  </si>
  <si>
    <t>ALAMBRE, CONECTOR</t>
  </si>
  <si>
    <t>900-11429</t>
  </si>
  <si>
    <t>LLAMAGAS S.A.</t>
  </si>
  <si>
    <t>GALONES GLP</t>
  </si>
  <si>
    <t>001-16259</t>
  </si>
  <si>
    <t>BENTONITA SODICA</t>
  </si>
  <si>
    <t>001-2758</t>
  </si>
  <si>
    <t>MATEO SANCHEZ JARA</t>
  </si>
  <si>
    <t xml:space="preserve">CUCHILLA </t>
  </si>
  <si>
    <t>001-2759</t>
  </si>
  <si>
    <t>DISCO DE CORTE</t>
  </si>
  <si>
    <t>001-3888</t>
  </si>
  <si>
    <t>LUNA DE SOLDAR</t>
  </si>
  <si>
    <t>002-327</t>
  </si>
  <si>
    <t>ERICKA CARMELINO FLORES</t>
  </si>
  <si>
    <t>AGUJA PARA COSEDORA</t>
  </si>
  <si>
    <t>001-22198</t>
  </si>
  <si>
    <t>INVERSIONES Y SERVICIOS DE LOS ANDES SRL</t>
  </si>
  <si>
    <t>SCTR SALUD MES NOVIEMBRE 2011</t>
  </si>
  <si>
    <t>SCTR PENSION MES NOVIEMBRE 2011</t>
  </si>
  <si>
    <t>001-586</t>
  </si>
  <si>
    <t>MORALES VEGA JAVIER</t>
  </si>
  <si>
    <t>TRAPO  INDUSTRIAL</t>
  </si>
  <si>
    <t>TAPA DE PLASTICO Y CAJA MODULAR DE PLASTICO</t>
  </si>
  <si>
    <t>FACTURAS Y/O LETRAS POR PAGAR  C/ CHEQUE SOLES AL 25-11-2011</t>
  </si>
  <si>
    <t>C00-44411427</t>
  </si>
  <si>
    <t>BCP 9855602</t>
  </si>
  <si>
    <t>TELEFONICA MOVILES S.A.</t>
  </si>
  <si>
    <t>INTERNET MOVIL S.A.</t>
  </si>
  <si>
    <t>005-29413</t>
  </si>
  <si>
    <t>SERV DE MONTACARGA</t>
  </si>
  <si>
    <t>001-256</t>
  </si>
  <si>
    <t>SCTBK 83143998</t>
  </si>
  <si>
    <t>ING. DE SERV. COMERCIALIZACION Y TRANSP HNOS EIRL</t>
  </si>
  <si>
    <t>PALETA, TACOS DE MADERA</t>
  </si>
  <si>
    <t>RxH 001-449</t>
  </si>
  <si>
    <t>SCTBK 83143999</t>
  </si>
  <si>
    <t>001-4790, 4805</t>
  </si>
  <si>
    <t>SCTBK 83144000</t>
  </si>
  <si>
    <t>TRANSPORTE A OQUENDO</t>
  </si>
  <si>
    <t>REC 14586081, 14586205, 14586077</t>
  </si>
  <si>
    <t>SCTBK 83144001</t>
  </si>
  <si>
    <t>SERV. DE AGUA POTABLE Y ALC. DE LIMA</t>
  </si>
  <si>
    <t>CONSUMO OCTUBRE</t>
  </si>
  <si>
    <t>FRACCIONAMIENTO</t>
  </si>
  <si>
    <t>BN 40333194</t>
  </si>
  <si>
    <t>FRACCIONAMIENTO CUOTA 70</t>
  </si>
  <si>
    <t>001-5942</t>
  </si>
  <si>
    <t>SCTBK 83144002</t>
  </si>
  <si>
    <t>BDO CONSULTING S.A.C.</t>
  </si>
  <si>
    <t>HONORARIOS PROFESIONALES</t>
  </si>
  <si>
    <t>SCTBK 83144003</t>
  </si>
  <si>
    <t>AMALIA SCHEGGIA CUADROS</t>
  </si>
  <si>
    <t>REEMBOLSO LIQ 2011-00016</t>
  </si>
  <si>
    <t xml:space="preserve"> </t>
  </si>
  <si>
    <t>SCTBK 83144004</t>
  </si>
  <si>
    <t>REEMBOLSO MOVILIDADES</t>
  </si>
  <si>
    <t>FACTURAS Y/O LETRAS POR PAGAR  C/ CHEQUE SOLES AL 21-10-2011</t>
  </si>
  <si>
    <t>BCP 9855601</t>
  </si>
  <si>
    <t>DELFIN GROUP CO S.A.C.</t>
  </si>
  <si>
    <t>HANDLING-QUINGDAO D. -F/DRW11010 - FR#20433</t>
  </si>
  <si>
    <t>BCP 9855059 DIF</t>
  </si>
  <si>
    <t>SERV LOGISTICO-QUINGDAO D. -F/DRW11010 - FR#20433</t>
  </si>
  <si>
    <t>BCP 9946751 DIF</t>
  </si>
  <si>
    <t>FLETE-QUINGDAO D. -F/DRW11010 - FR#20433</t>
  </si>
  <si>
    <t>BCP 9855599</t>
  </si>
  <si>
    <t>ARANCELES-QUINGDAO D. -F/DRW11010 - FR#20433</t>
  </si>
  <si>
    <t>BCP 9855600</t>
  </si>
  <si>
    <t>PERCEPCION-QUINGDAO D. -F/DRW11010 - FR#20433</t>
  </si>
  <si>
    <t>FACTURAS Y/O LETRAS POR PAGAR  C/ CHEQUE SOLES AL   25-11-2011</t>
  </si>
  <si>
    <t>001-738</t>
  </si>
  <si>
    <t>BCP 92</t>
  </si>
  <si>
    <t>SCORPIO  CONSULTORES DE NEGOCIOS  S.A.C.</t>
  </si>
  <si>
    <t>ASESORIA EN LICITACION</t>
  </si>
  <si>
    <t>ok</t>
  </si>
  <si>
    <t>FACTURAS POR PAGAR TELECREDITO DOLARES 25-11-2011</t>
  </si>
  <si>
    <t>001-0028049</t>
  </si>
  <si>
    <t>KINDUIT S.A.C.</t>
  </si>
  <si>
    <t>001-56260</t>
  </si>
  <si>
    <t>SUMINISTRO DE FLUIDOS</t>
  </si>
  <si>
    <t>001-16262</t>
  </si>
  <si>
    <t>PLASTICO REFRACTARIO</t>
  </si>
  <si>
    <t>001-16411</t>
  </si>
  <si>
    <t xml:space="preserve">PLACA CARB. </t>
  </si>
  <si>
    <t>001-158209</t>
  </si>
  <si>
    <t>CONDUCTORES ELECTRICOS LIMA SA</t>
  </si>
  <si>
    <t>CONDUCTOR AUTOPORTANTE</t>
  </si>
  <si>
    <t>002-15951</t>
  </si>
  <si>
    <t>ALAMBRE</t>
  </si>
  <si>
    <t>001-72418</t>
  </si>
  <si>
    <t>SUDAMERI´S DE RODAMIENTOS SAC</t>
  </si>
  <si>
    <t>RODAJE</t>
  </si>
  <si>
    <t>FACTURAS Y/O LETRAS POR PAGAR  C/ CHEQUE DOLARES AL 22-11-11</t>
  </si>
  <si>
    <t>L/4057-3</t>
  </si>
  <si>
    <t>BCP 9946489</t>
  </si>
  <si>
    <t xml:space="preserve">BANCO DE CREDITO DEL PERU </t>
  </si>
  <si>
    <t>AMORT. LT 4057-2  V.14.11.11 CASAS ING.</t>
  </si>
  <si>
    <t>L/4055-4</t>
  </si>
  <si>
    <t>BCP 9946490</t>
  </si>
  <si>
    <t>HSBC BANK PERU</t>
  </si>
  <si>
    <t>AMORT. LT 4055-3  V.14.11.11 CASAS ING.</t>
  </si>
  <si>
    <t>BCP 9946491</t>
  </si>
  <si>
    <t>BB TECNOLOGIA INDUSTRIAL SAC</t>
  </si>
  <si>
    <t xml:space="preserve">PRETSAMO A BB TECNOLOGIA INDUSTRIAL </t>
  </si>
  <si>
    <t>FACTURAS POR PAGAR TELECREDITO SOLES 02-12-2011</t>
  </si>
  <si>
    <t>001-26027</t>
  </si>
  <si>
    <t>SELLOS METALICOS</t>
  </si>
  <si>
    <t>001-3961</t>
  </si>
  <si>
    <t>001-613</t>
  </si>
  <si>
    <t>001-3908</t>
  </si>
  <si>
    <t>001-3864</t>
  </si>
  <si>
    <t>003-16017</t>
  </si>
  <si>
    <t>043-222395</t>
  </si>
  <si>
    <t>ALUMINIO ENVASADO</t>
  </si>
  <si>
    <t>043-221774</t>
  </si>
  <si>
    <t>065-76190</t>
  </si>
  <si>
    <t>043-222393</t>
  </si>
  <si>
    <t>043-221772</t>
  </si>
  <si>
    <t>065-75908</t>
  </si>
  <si>
    <t>043-221986</t>
  </si>
  <si>
    <t>065-76861</t>
  </si>
  <si>
    <t>065-76862</t>
  </si>
  <si>
    <t>900-11490</t>
  </si>
  <si>
    <t>GALONES DE PVC</t>
  </si>
  <si>
    <t>504-0099605</t>
  </si>
  <si>
    <t>APORTE EPS MES NOVIEMBRE 2011</t>
  </si>
  <si>
    <t>504-0005139</t>
  </si>
  <si>
    <t>DEVOLUCION DE PRIMA EPS MES DE OCTUBRE 2011</t>
  </si>
  <si>
    <t>001-00435</t>
  </si>
  <si>
    <t xml:space="preserve">CAJAS  PORTAMEDIDOR MONOFASICO </t>
  </si>
  <si>
    <t>FACTURAS Y/O LETRAS POR PAGAR  C/ CHEQUE SOLES AL 02-12-2011</t>
  </si>
  <si>
    <t>NACION 40333195</t>
  </si>
  <si>
    <t>MULTAS-IGV Y RENTA-IMPUESTOS AGOSTO 2011-FORM 1662</t>
  </si>
  <si>
    <t>NACION 40333196</t>
  </si>
  <si>
    <t>RENTA+INTERESES-IMPUESTO SETIEMBRE 2011-FORM 621</t>
  </si>
  <si>
    <t>NACION 40333197</t>
  </si>
  <si>
    <t>MULTAS-IGV Y RENTA-IMPUESTOS SETIEMBRE 2011-FORM 1662</t>
  </si>
  <si>
    <t>NACION 40333198</t>
  </si>
  <si>
    <t>RENTA+INTERESES-IMPUESTO OCTUBRE 2011-FORM 621</t>
  </si>
  <si>
    <t>NACION 40333199</t>
  </si>
  <si>
    <t>MULTAS-RENTA-IMPUESTOS OCTUBRE 2011-FORM 1662</t>
  </si>
  <si>
    <t>BCP 9855603</t>
  </si>
  <si>
    <t>ACCIONA FORWARDING PERU S.A.</t>
  </si>
  <si>
    <t>LIQ MMZJ0081364 BALESTRO F/BEX029/10-CHQS EXTRAVIADOS 80932291 Y 80932292 SCTBK</t>
  </si>
  <si>
    <t>BCP 9855604</t>
  </si>
  <si>
    <t>DEL CASTILLO CARRASCO EDUARDO ALFONSO</t>
  </si>
  <si>
    <t>PRESTAMO PERSONAL</t>
  </si>
  <si>
    <t>F/001-023580/023581</t>
  </si>
  <si>
    <t>SCTBK 83144005</t>
  </si>
  <si>
    <t>GARCIA CARRILLO SEBASTIAN</t>
  </si>
  <si>
    <t>THINER ACRILICO, BROCHA Y ESMALTES</t>
  </si>
  <si>
    <t>F/001-000166/000173</t>
  </si>
  <si>
    <t>SCTBK 83144006</t>
  </si>
  <si>
    <t>COACHING Y TALENTO S.A.C.</t>
  </si>
  <si>
    <t>PROCESO COACHING: SR. UGO MENDOZA Y MANUEL IZQUIERDO</t>
  </si>
  <si>
    <t>F/0001-004810</t>
  </si>
  <si>
    <t>SCTBK 83144007</t>
  </si>
  <si>
    <t>F/0005-029629</t>
  </si>
  <si>
    <t>SCTBK 83144008</t>
  </si>
  <si>
    <t>F/001-000994</t>
  </si>
  <si>
    <t>SCTBK 83144009</t>
  </si>
  <si>
    <t>TRANSPORTES Y SERVICIOS GYG S.A.C.</t>
  </si>
  <si>
    <t>SCTBK 83144010</t>
  </si>
  <si>
    <t>REEMBOLSO CAJA CHICA Nº029/2011 21.11.11</t>
  </si>
  <si>
    <t>REC 0004-820904892/820904894/820904890/820904893/820904891</t>
  </si>
  <si>
    <t>BCP 9855605</t>
  </si>
  <si>
    <t>CONSUMO MES DE NOVIEMBRE 2011 V.22-11-11 TLFS 4988820/5612998/4522369/4648622/4521609</t>
  </si>
  <si>
    <t>REC C00-44767195/44767125</t>
  </si>
  <si>
    <t>BCP 9855606</t>
  </si>
  <si>
    <t>CONSUMO MES DE NOVIEMBRE 2011 V.22-11-11 RPM'S</t>
  </si>
  <si>
    <t>REC B-93246723/93246900</t>
  </si>
  <si>
    <t>BCP 9855607</t>
  </si>
  <si>
    <t>CONSUMO MES DE NOVIEMBRE 2011-OMICRON 105 Y 643</t>
  </si>
  <si>
    <t>FACTURAS Y/O LETRAS POR PAGAR  C/ CHEQUE SOLES AL 28-11-2011</t>
  </si>
  <si>
    <t>BBVA DIF 2292</t>
  </si>
  <si>
    <t>CARGA Y LOGISTICA PERU S.A.C.</t>
  </si>
  <si>
    <t>FLETE-YUEQING DONGSEN-F/DS11GDM-034-FR#20695</t>
  </si>
  <si>
    <t>SCTBK 83144011</t>
  </si>
  <si>
    <t>HANDLING Y DESCARGA-YUEQING DONGSEN-F/DS11GDM-034-FR#20695</t>
  </si>
  <si>
    <t>FACTURAS Y/O LETRAS POR PAGAR  C/ CARTA SOLES AL 28-11-2011</t>
  </si>
  <si>
    <t>L/00406</t>
  </si>
  <si>
    <t>MIMSA 166-11</t>
  </si>
  <si>
    <t>FACTURAS POR PAGAR TELECREDITO DOLARES 02-12-2011</t>
  </si>
  <si>
    <t>001-71156</t>
  </si>
  <si>
    <t>CONTRATO DE ARRENDAMIENTO CUOTA 28/48</t>
  </si>
  <si>
    <t>001-71157</t>
  </si>
  <si>
    <t>CONTRATO DE ARRENDAMIENTO CUOTA 19/48</t>
  </si>
  <si>
    <t>FACTURAS Y/O LETRAS POR PAGAR  C/ CHEQUE DOLARES AL 02-12-11</t>
  </si>
  <si>
    <t>F/001-0000009</t>
  </si>
  <si>
    <t>SCTBK 83361154</t>
  </si>
  <si>
    <t>GARIBALDI PERU S.A.C.</t>
  </si>
  <si>
    <t>ZUNCHOS METALICOS</t>
  </si>
  <si>
    <t>SCTBK 79780967</t>
  </si>
  <si>
    <t>LIQ MMZJ0081364 BALESTRO F/BEX029/10-CHQS EXTRAVIADOS 1180 Y 1181 BIF</t>
  </si>
  <si>
    <t>L/11068280</t>
  </si>
  <si>
    <t>SCTBK 79780968</t>
  </si>
  <si>
    <t>PROMOTORES ELECTRICO S.A.</t>
  </si>
  <si>
    <t>FACTURAS Y/O LETRAS POR PAGAR  C/ CARTA DOLARES AL 28-11-2011</t>
  </si>
  <si>
    <t>L/100-1731</t>
  </si>
  <si>
    <t>MIMSA 167-11</t>
  </si>
  <si>
    <t>L/100-1788</t>
  </si>
  <si>
    <t>MIMSA 168-11</t>
  </si>
  <si>
    <t>FACTURAS POR PAGAR TELECREDITO SOLES 09-12-2011</t>
  </si>
  <si>
    <t>001-16438</t>
  </si>
  <si>
    <t>BENTONITA</t>
  </si>
  <si>
    <t>002-16039</t>
  </si>
  <si>
    <t>001-6409</t>
  </si>
  <si>
    <t>INIRSA</t>
  </si>
  <si>
    <t>PORTAELECTRODO</t>
  </si>
  <si>
    <t>001-1588</t>
  </si>
  <si>
    <t>EDISON MANUEL CANCHACHI VILLASANTE</t>
  </si>
  <si>
    <t>043-0222689</t>
  </si>
  <si>
    <t>02 CAR. ALUMINIO ENVASADO GLP</t>
  </si>
  <si>
    <t>001-007806</t>
  </si>
  <si>
    <t>MONTACARGAS ALIAGA S.A.C.</t>
  </si>
  <si>
    <t>001-007759</t>
  </si>
  <si>
    <t>001-007804</t>
  </si>
  <si>
    <t>001-007791</t>
  </si>
  <si>
    <t>001-007805</t>
  </si>
  <si>
    <t>001-0012016</t>
  </si>
  <si>
    <t>001-0012014</t>
  </si>
  <si>
    <t>001-0012015</t>
  </si>
  <si>
    <t>001-00615</t>
  </si>
  <si>
    <t>CINTA PLANA DE ARMAR</t>
  </si>
  <si>
    <t>001-000614</t>
  </si>
  <si>
    <t>001-000616</t>
  </si>
  <si>
    <t>DUA 118-407122-CECEC-F/11E425Z-FR#19904</t>
  </si>
  <si>
    <t>DUA 118-416559-SHANGHAI-F/M11ZA0184-FR#19448</t>
  </si>
  <si>
    <t>ACCIONA FORWARDING</t>
  </si>
  <si>
    <t>DUA 118-399646-SHANGHAI-F/M11ZA0002-2-FR#19447</t>
  </si>
  <si>
    <t>FACTURAS Y/O LETRAS POR PAGAR  C/ CHEQUE SOLES AL 09-12-2011</t>
  </si>
  <si>
    <t>REC B-93387301</t>
  </si>
  <si>
    <t>BBVA 2388</t>
  </si>
  <si>
    <t>CONSUMO NOV 2011-OMICRON 105</t>
  </si>
  <si>
    <t>BBVA 2389</t>
  </si>
  <si>
    <t>ROJAS RUFINO CINTYA MARY</t>
  </si>
  <si>
    <t>RETENCION JUDICIAL-HABERES NOV 2011</t>
  </si>
  <si>
    <t>BBVA 2390</t>
  </si>
  <si>
    <t>RETENCION JUDICIAL-LIQ. BB.SS. NOV 2011</t>
  </si>
  <si>
    <t>BBVA 2391</t>
  </si>
  <si>
    <t>REEMBOLSO GASTOS DE GERENCIA Y AFINES Nº 2011-17  30.11.11</t>
  </si>
  <si>
    <t>09.12.11 EN PODER DE AMALIA</t>
  </si>
  <si>
    <t>BBVA 2392</t>
  </si>
  <si>
    <t>REEMBOLSO CAJA CHICA Nº030/2011  28.11.11</t>
  </si>
  <si>
    <t>F/001-000202</t>
  </si>
  <si>
    <t>BCP 9855608</t>
  </si>
  <si>
    <t>CORPORACON OCCIDENTAL STAR SAC</t>
  </si>
  <si>
    <t>PLANCHAS DOBLADAS DE COBRE TIPO J</t>
  </si>
  <si>
    <t>REC L00-48340164</t>
  </si>
  <si>
    <t>BCP 9855610</t>
  </si>
  <si>
    <t>CONSUMO MES NOV 2011</t>
  </si>
  <si>
    <t>BCP 9855611</t>
  </si>
  <si>
    <t>APORTE MES NOVIEMBRE 2011</t>
  </si>
  <si>
    <t>NACION 40333200</t>
  </si>
  <si>
    <t>FRACCIONAMIENTO CUOTA 71</t>
  </si>
  <si>
    <t>FACTURAS POR PAGAR TELECREDITO DOLARES 09-12-2011</t>
  </si>
  <si>
    <t>002-16034</t>
  </si>
  <si>
    <t>FACTURAS Y/O LETRAS POR PAGAR  C/ CHEQUE DOLARES AL 09-12-11</t>
  </si>
  <si>
    <t>BCP 9946492</t>
  </si>
  <si>
    <t>Amortiz. Letra 4056-4 v.29.11.11 Casas Ing. (con chq de MIMSA)</t>
  </si>
  <si>
    <t>L/2011.11.037</t>
  </si>
  <si>
    <t>BCP 9946493</t>
  </si>
  <si>
    <t>COMERCIAL DEL ACERO</t>
  </si>
  <si>
    <t>FACTURAS Y/O LETRAS POR PAGAR  C/ CARTA DOLARES AL 09-12-11</t>
  </si>
  <si>
    <t>UBICACION</t>
  </si>
  <si>
    <t>L/3259</t>
  </si>
  <si>
    <t>MIMSA 169-11</t>
  </si>
  <si>
    <t>O/C 8526</t>
  </si>
  <si>
    <t>BCP 31</t>
  </si>
  <si>
    <t>ELECTROWERKE S.A.</t>
  </si>
  <si>
    <t>50% ADELANTOXCOMPRA DE TRANSFORMADORES, INTERRUPTORES Y SECCIONADORES</t>
  </si>
  <si>
    <t>PAFE</t>
  </si>
  <si>
    <t>FACTURAS POR PAGAR TELECREDITO SOLES 16-12-2011</t>
  </si>
  <si>
    <t>001-1028</t>
  </si>
  <si>
    <t>BROCA, TIJERA</t>
  </si>
  <si>
    <t>001-1025</t>
  </si>
  <si>
    <t>BROCA</t>
  </si>
  <si>
    <t>002-16003</t>
  </si>
  <si>
    <t>003-016360</t>
  </si>
  <si>
    <t>AQUAWORKS PERU S.A.</t>
  </si>
  <si>
    <t>15 BIDONES DE AGUA</t>
  </si>
  <si>
    <t>003-016358</t>
  </si>
  <si>
    <t>05 BIDONES DE AGUA</t>
  </si>
  <si>
    <t>003-016491</t>
  </si>
  <si>
    <t>001-005616</t>
  </si>
  <si>
    <t>PIEDRA MONTADA Y ROSADA</t>
  </si>
  <si>
    <t>001-001683</t>
  </si>
  <si>
    <t>CANCHACHI VILLASANTE EDINSON MANUEL</t>
  </si>
  <si>
    <t>001-0004186</t>
  </si>
  <si>
    <t>RESPIRADOR KCP KLEENGUARD</t>
  </si>
  <si>
    <t>143-0009146</t>
  </si>
  <si>
    <t>CEMENTO, TECHO OPAC, PIEDRA CHANCADA Y OTROS</t>
  </si>
  <si>
    <t>143-0009155</t>
  </si>
  <si>
    <t>ARENA GRUESA</t>
  </si>
  <si>
    <t>043-0223451</t>
  </si>
  <si>
    <t>043-0223914</t>
  </si>
  <si>
    <t>FACTURAS Y/O LETRAS POR PAGAR  C/ CHEQUE SOLES AL 16-12-2011</t>
  </si>
  <si>
    <t>O/C 8638</t>
  </si>
  <si>
    <t>BBVA 2393</t>
  </si>
  <si>
    <t>NOVOA SERQUEN MARIA CECILIA</t>
  </si>
  <si>
    <t>COMPRA DE 50 TAZAS CON TRUFAS</t>
  </si>
  <si>
    <t>F/001-001415</t>
  </si>
  <si>
    <t>BBVA 2394</t>
  </si>
  <si>
    <t>BBVA 2395</t>
  </si>
  <si>
    <t>REEMBOLSO CAJA CHICA Nº031/2011  06.12.11</t>
  </si>
  <si>
    <t>FACTURAS POR PAGAR TELECREDITO DOLARES 16-12-2011</t>
  </si>
  <si>
    <t>451-63807</t>
  </si>
  <si>
    <t>CORP. PERUANA DE PRODUCTOS QUIMICOS S.A.</t>
  </si>
  <si>
    <t>ZINC - DISOLVENTE</t>
  </si>
  <si>
    <t>001-264260</t>
  </si>
  <si>
    <t>IMPORT. INDUSTRIAL CORPUS  SRL</t>
  </si>
  <si>
    <t>FACTURAS Y/O LETRAS POR PAGAR  C/ CHEQUE DOLARES AL 12-12-11</t>
  </si>
  <si>
    <t>BBVA 2109</t>
  </si>
  <si>
    <t>CAMBIO DE CHEQUE BBVA DIF 2291 REF. FLETE -SHANGHAI-F/M11ZA0184-FR#19448</t>
  </si>
  <si>
    <t>FACTURAS POR PAGAR TELECREDITO SOLES 23-12-2011</t>
  </si>
  <si>
    <t>003-016713</t>
  </si>
  <si>
    <t>AQUAWOKS PERU SAC</t>
  </si>
  <si>
    <t>001-026387</t>
  </si>
  <si>
    <t>SELLOS METALICOS DE FIERRO ACERADO</t>
  </si>
  <si>
    <t>001-000357</t>
  </si>
  <si>
    <t>TARJETAS PERSONALES (U.MENDOZA/A. SCHEGGIA)</t>
  </si>
  <si>
    <t>044-0111937</t>
  </si>
  <si>
    <t>IMPORTACIONES HIRAOKA SAC</t>
  </si>
  <si>
    <t>ALBUM DIGITAL MIRAY - REGALOS A CLIENTES</t>
  </si>
  <si>
    <t>002-0016132</t>
  </si>
  <si>
    <t>065-0077509</t>
  </si>
  <si>
    <t>03 CAR. ALUMINIO ENVASADO GLP</t>
  </si>
  <si>
    <t>001-0153280</t>
  </si>
  <si>
    <t>ACERO W320-121.5</t>
  </si>
  <si>
    <t>001-0022486</t>
  </si>
  <si>
    <t>HOLD ANNOUNCER MES DICIEMBRE 2011</t>
  </si>
  <si>
    <t>504-0102348</t>
  </si>
  <si>
    <t>EPS MES DICIEMBRE 2011</t>
  </si>
  <si>
    <t>118-423581</t>
  </si>
  <si>
    <t>AUSA ADUANAS S.A.</t>
  </si>
  <si>
    <t>DUA 118-423581 ROMAGNOLE-F/106/11-FR#20352</t>
  </si>
  <si>
    <t>029-0037324</t>
  </si>
  <si>
    <t>AISLADOR DE PORCELANA</t>
  </si>
  <si>
    <t>19.12.11 correo de Georgina, indicando que se compenso el cliente/proveedor, falta dcto por esta operación</t>
  </si>
  <si>
    <t>FACTURAS Y/O LETRAS POR PAGAR  C/ CHEQUE SOLES AL 23-12-2011</t>
  </si>
  <si>
    <t>RECXHON 001-000456</t>
  </si>
  <si>
    <t>BCP 9855612</t>
  </si>
  <si>
    <t>DEL CASTILLO CARRASCO EDUARDO</t>
  </si>
  <si>
    <t>F/001-000185</t>
  </si>
  <si>
    <t>BCP 9855613</t>
  </si>
  <si>
    <t>COACHING: SR. MENDOZA</t>
  </si>
  <si>
    <t>BCP 9855614</t>
  </si>
  <si>
    <t>GUADALUPE PEREA MELVIN</t>
  </si>
  <si>
    <t>SCTBK 83144012</t>
  </si>
  <si>
    <t>IZQUIERDO CAÑOLA MANUEL LUIS FERNANDO</t>
  </si>
  <si>
    <t>NACION 38223226</t>
  </si>
  <si>
    <t>IMPUESTOS NOV 2011-FORM 621-IGV/RENTA</t>
  </si>
  <si>
    <t>X ANULAR</t>
  </si>
  <si>
    <t>NACION 38223227</t>
  </si>
  <si>
    <t>IMPUESTOS NOV 2011-FORM 601-PLLA ELECTRONICA</t>
  </si>
  <si>
    <t>NACION 38223228</t>
  </si>
  <si>
    <t>IMPUESTOS NOV 2011-FORM 648 - ITAN</t>
  </si>
  <si>
    <t>REC C00-45775502/C00-45775571</t>
  </si>
  <si>
    <t>BCP 9855615</t>
  </si>
  <si>
    <t>CONSUMO RPM MES DIC 2011</t>
  </si>
  <si>
    <t>BCP 9855616</t>
  </si>
  <si>
    <t>UGO MENDOZA INGUNZA</t>
  </si>
  <si>
    <t>REEMBOLSO GTOS GERENCIA Y AFINES Nº2010-0001 20.12.11</t>
  </si>
  <si>
    <t>23-12-11 EN PODER DE AMALIA</t>
  </si>
  <si>
    <t>SCTBK 83144014</t>
  </si>
  <si>
    <t>REEMBOLSO GTOS GERENCIA Y AFINES Nº2011-0018 20.12.11</t>
  </si>
  <si>
    <t>REC 16011530/16011575/16011534</t>
  </si>
  <si>
    <t>SCTBK 83144015</t>
  </si>
  <si>
    <t>CONSUMO DIC 2011-OMICRON 105/643/646</t>
  </si>
  <si>
    <t>FACTURAS POR PAGAR TELECREDITO DOLARES 23-12-2011</t>
  </si>
  <si>
    <t>001-0072699</t>
  </si>
  <si>
    <t>CONTRATO ARRENDAMIENTO A487 AN001 CUOTA 29/48</t>
  </si>
  <si>
    <t>001-0072700</t>
  </si>
  <si>
    <t>CONTRATO ARRENDAMIENTO A487 AN002 CUOTA 20/48</t>
  </si>
  <si>
    <t>0001-016800</t>
  </si>
  <si>
    <t>TONERS KYOCERA Y HP LJ</t>
  </si>
  <si>
    <t>001-0011106</t>
  </si>
  <si>
    <t>SERVIFREIGHT SAC</t>
  </si>
  <si>
    <t>TRANSPORTE-DUA 118-423581 ROMAGNOLE-F/106/11-FR#20352</t>
  </si>
  <si>
    <t>FACTURAS Y/O LETRAS POR PAGAR  C/ CHEQUE DOLARES AL 23-12-11</t>
  </si>
  <si>
    <t>F/001-005278/005310</t>
  </si>
  <si>
    <t>BCP 9946494</t>
  </si>
  <si>
    <t>ELOY VEGA R.E. HIJOS EIRL</t>
  </si>
  <si>
    <t>MATRIZ REBARBEADOR Y DE GRAPA PARALELA</t>
  </si>
  <si>
    <t>L/11072390</t>
  </si>
  <si>
    <t>BCP 9946495</t>
  </si>
  <si>
    <t>PROMOTORES ELECTRICOS SA</t>
  </si>
  <si>
    <t>F/001-000036</t>
  </si>
  <si>
    <t>BCP 9946496</t>
  </si>
  <si>
    <t>GARIBALDI PERU SAC</t>
  </si>
  <si>
    <t>ZUNCHO ZUNAR</t>
  </si>
  <si>
    <t>F/001-005960</t>
  </si>
  <si>
    <t>BCP 9946497</t>
  </si>
  <si>
    <t>BDO CONSULTING SAC</t>
  </si>
  <si>
    <t>REDISEÑO ORGANIZACIONAL, MEJORA Y DOCUMENTACION DE PROCEDIMIENTOS</t>
  </si>
  <si>
    <t>BCP 9946498</t>
  </si>
  <si>
    <t>Amortiz. Letra 4055-5 v.13.12.11 Casas Ing. (con chq de MIMSA)</t>
  </si>
  <si>
    <t>BCP 9946499</t>
  </si>
  <si>
    <t>Amortiz. Letra 4057-4 v.14.12.11 Casas Ing. (con chq de MIMSA)</t>
  </si>
  <si>
    <t>N/C 001-003623</t>
  </si>
  <si>
    <t>BBVA 2110</t>
  </si>
  <si>
    <t>ENERCID SAC</t>
  </si>
  <si>
    <t>DEVOLUCION ANTICIPO SEGÚN F/37489</t>
  </si>
  <si>
    <t>FACTURAS POR PAGAR TELECREDITO SOLES 30-12-2011</t>
  </si>
  <si>
    <t>001-0152886</t>
  </si>
  <si>
    <t>ACERO VCL 55MMX1000MM</t>
  </si>
  <si>
    <t>001-000621</t>
  </si>
  <si>
    <t>CUBIERTA PLASTICA SP 14</t>
  </si>
  <si>
    <t>001-000619</t>
  </si>
  <si>
    <t>CONECTOR DE BRONCE, MANGUITO DE REPARACION Y PROTECTOR  ANTIRROBO</t>
  </si>
  <si>
    <t>043-0223030</t>
  </si>
  <si>
    <t>065-0077309</t>
  </si>
  <si>
    <t>043-0224123</t>
  </si>
  <si>
    <t>001-007940</t>
  </si>
  <si>
    <t>SERVICIO DE MONTACARGAS</t>
  </si>
  <si>
    <t>001-007944</t>
  </si>
  <si>
    <t>001-007943</t>
  </si>
  <si>
    <t>001-007942</t>
  </si>
  <si>
    <t>001-007941</t>
  </si>
  <si>
    <t>001-007893</t>
  </si>
  <si>
    <t>001-007894</t>
  </si>
  <si>
    <t>003-016849</t>
  </si>
  <si>
    <t>10 BIDONES DE AGUA</t>
  </si>
  <si>
    <t>001-001742</t>
  </si>
  <si>
    <t>004-001433</t>
  </si>
  <si>
    <t>AISLADORES PORTAFUSIBLES DE LOZA TIPO PESCADITO</t>
  </si>
  <si>
    <t>SCTR PENSION MES DIC 2011</t>
  </si>
  <si>
    <t>SCTR SALUD MES DIC 2011</t>
  </si>
  <si>
    <t>F/002-00728</t>
  </si>
  <si>
    <t>BBVA 2396</t>
  </si>
  <si>
    <t>COFESA &amp; ASOCIADOS SAC-EDGAR LINARES MAZA</t>
  </si>
  <si>
    <t>PLANCHAS LAF Y LAC</t>
  </si>
  <si>
    <t>26.12.11 EN PODER DE AMALIA</t>
  </si>
  <si>
    <t>F/002-00751</t>
  </si>
  <si>
    <t>BBVA 2397</t>
  </si>
  <si>
    <t>PLANCHAS LAC Y PLATINA</t>
  </si>
  <si>
    <t>BBVA 2398</t>
  </si>
  <si>
    <t>REEMBOLSO CAJA CHICA Nº032/2011  19.12.11</t>
  </si>
  <si>
    <t>BBVA 2399</t>
  </si>
  <si>
    <t>REEMBOLSO COMBUSTIBLE AREA LEGAL 05.12.11</t>
  </si>
  <si>
    <t xml:space="preserve">REC 0004-822539675/822539677/822539678/822539676/822539674 </t>
  </si>
  <si>
    <t>BCP 9855617</t>
  </si>
  <si>
    <t>TELEFONICA DEL PERU-CONSUMO MES DIC 2011:4521609/4648622/5612998/4988820/4522369</t>
  </si>
  <si>
    <t>F/001-000256</t>
  </si>
  <si>
    <t>SCTBK 83144016</t>
  </si>
  <si>
    <t>INSECOYT HNOS EIRL</t>
  </si>
  <si>
    <t>TACOS Y PALETA DE MADERA</t>
  </si>
  <si>
    <t>**</t>
  </si>
  <si>
    <t>SCTBK 83144017</t>
  </si>
  <si>
    <t>SCTBK 83144018</t>
  </si>
  <si>
    <t>RECXHON 001-00461</t>
  </si>
  <si>
    <t>BBVA 2400</t>
  </si>
  <si>
    <t>F/001-77757/77756/77775/77782</t>
  </si>
  <si>
    <t>SCTBK 83144020</t>
  </si>
  <si>
    <t>JOSE LINO CACERES</t>
  </si>
  <si>
    <t>FILTROS, REFRIGERANTES Y OTROS</t>
  </si>
  <si>
    <t>F/0001-000140</t>
  </si>
  <si>
    <t>BCP 93</t>
  </si>
  <si>
    <t>INVERSIOENS Y ALQUILERES REGIONALES SAC - INALRE SAC</t>
  </si>
  <si>
    <t>SERVICIO DE ALQUILER DE MAQUINARIAS Y EQUIPOS</t>
  </si>
  <si>
    <t>F/001-001506</t>
  </si>
  <si>
    <t>BCP 94</t>
  </si>
  <si>
    <t>SUPPLY IMPORT PERU S.A.C.</t>
  </si>
  <si>
    <t>FACTURAS POR PAGAR TELECREDITO DOLARES 30-12-2011</t>
  </si>
  <si>
    <t>002-0016153</t>
  </si>
  <si>
    <t>001-0056705</t>
  </si>
  <si>
    <t>FACTURAS Y/O LETRAS POR PAGAR  C/ CHEQUE DOLARES AL 30-12-11</t>
  </si>
  <si>
    <t>SCTBK 79780969</t>
  </si>
  <si>
    <t>L/100-1899</t>
  </si>
  <si>
    <t>BCP 9946503</t>
  </si>
  <si>
    <t>BANCO SANTANDER PERU S.A.</t>
  </si>
  <si>
    <t>F/001-005354</t>
  </si>
  <si>
    <t>BBVA 2111</t>
  </si>
  <si>
    <t>MATRIZ DE REBARBADO</t>
  </si>
  <si>
    <t>F/034-0005140</t>
  </si>
  <si>
    <t>BBVA 2112</t>
  </si>
  <si>
    <t>PRODUCTOS DE ACERO CASSADO S.A.</t>
  </si>
  <si>
    <t>ALAMBRE DE AºGº PARA ENTORCHE</t>
  </si>
  <si>
    <t>F/001-000080</t>
  </si>
  <si>
    <t>HSBC 272070</t>
  </si>
  <si>
    <t>JAGT CONTRATISTAS GENERALES SAC</t>
  </si>
  <si>
    <t>ASESORIA TECNICA EN LA GESTION DE SUMINISTROS DE MATERIALES-LICITACION PUBLICA</t>
  </si>
  <si>
    <t>FACTURAS Y/O LETRAS POR PAGAR  C/ CHEQUE DOLARES AL 30-12-2011</t>
  </si>
  <si>
    <t>FACTURAS POR PAGAR TELECREDITO SOLES 03-02-2012</t>
  </si>
  <si>
    <t>001-0004441</t>
  </si>
  <si>
    <t xml:space="preserve">GUANTES DE SEGURIDAD </t>
  </si>
  <si>
    <t>001-0004442</t>
  </si>
  <si>
    <t>001-0004474</t>
  </si>
  <si>
    <t>CASCO DE SEGURIDAD CON SUSPENSION PLASTICA</t>
  </si>
  <si>
    <t>001-0004475</t>
  </si>
  <si>
    <t>001-0004476</t>
  </si>
  <si>
    <t>001-001203</t>
  </si>
  <si>
    <t>TRAPO INDUSTRIAL</t>
  </si>
  <si>
    <t>001-001202</t>
  </si>
  <si>
    <t>WINCHA</t>
  </si>
  <si>
    <t>001-001201</t>
  </si>
  <si>
    <t>001-001212</t>
  </si>
  <si>
    <t>ENCHUFE INDUSTRIAL MONOFASICO 32A</t>
  </si>
  <si>
    <t>880-0021370</t>
  </si>
  <si>
    <t>330 GLNS DE GLP</t>
  </si>
  <si>
    <t>001-0022776</t>
  </si>
  <si>
    <t>HOLD ANNOUNCE MES ENERO 2012</t>
  </si>
  <si>
    <t>001-004302</t>
  </si>
  <si>
    <t>15 BIDONES DEA AGUA</t>
  </si>
  <si>
    <t>001-000631</t>
  </si>
  <si>
    <t>001-000630</t>
  </si>
  <si>
    <t>CONECTRO DE ALUMINIO TIPO DOB. VIA</t>
  </si>
  <si>
    <t>FACTURAS Y/O LETRAS POR PAGAR  C/ CHEQUE SOLES AL 03-02-2012</t>
  </si>
  <si>
    <t xml:space="preserve">REC 004-824192534/824192531/824192533/824192535 </t>
  </si>
  <si>
    <t>BCP 9855633</t>
  </si>
  <si>
    <t>CONSUMO ENERO 2012- TELEFONICA DEL PERU</t>
  </si>
  <si>
    <t>REC C00-46762930/C00-46762863</t>
  </si>
  <si>
    <t>BCP 9855634</t>
  </si>
  <si>
    <t>CONSUMO ENERO 2012-TELEFONICA MOVILES-RPM</t>
  </si>
  <si>
    <t>F/001-000351</t>
  </si>
  <si>
    <t>SCTBK 83144033</t>
  </si>
  <si>
    <t>PANTALONES EN DRIL</t>
  </si>
  <si>
    <t>F/001-0078070</t>
  </si>
  <si>
    <t>SCTBK 83144034</t>
  </si>
  <si>
    <t>MNTTO VEHICULAR PIX-432</t>
  </si>
  <si>
    <t>SCTBK 83144035</t>
  </si>
  <si>
    <t>REEMBOLSO GASTOS DE GERENCIA Y AFINES Nº2012-002</t>
  </si>
  <si>
    <t>31.01.12 EN PODER DE AMALIA</t>
  </si>
  <si>
    <t>BBVA 2454</t>
  </si>
  <si>
    <t>REEMBOLSO CAJA CHICA Nº002/2012   20.01.12</t>
  </si>
  <si>
    <t>F/001-002336</t>
  </si>
  <si>
    <t>BBVA 2455</t>
  </si>
  <si>
    <t>RUIZ CASTELO JOSE</t>
  </si>
  <si>
    <t>RECXHON 001-000466</t>
  </si>
  <si>
    <t>BCP 9855636</t>
  </si>
  <si>
    <t>DEL CASTILLO CARRASCO EDUARDO A.</t>
  </si>
  <si>
    <t>BIF 151</t>
  </si>
  <si>
    <t>REEMBOLSO CAJA CHICA Nº003/2012   27.01.12</t>
  </si>
  <si>
    <t>F/001-000005</t>
  </si>
  <si>
    <t>BIF 152</t>
  </si>
  <si>
    <t>CHALLCO ARIZABAL FEDERICO JEFERSON</t>
  </si>
  <si>
    <t>PALETAS DE MADERA</t>
  </si>
  <si>
    <t>F/001-007108</t>
  </si>
  <si>
    <t>BIF 153</t>
  </si>
  <si>
    <t>RECARGA Y MNTTO DE EXTINTORES</t>
  </si>
  <si>
    <t>BIF 154</t>
  </si>
  <si>
    <t>REEMBOLSO GASTOS DE GERENCIA Y AFINES Nº2012-003  31.01.12</t>
  </si>
  <si>
    <t>03.02.12 EN PODER DE AMALIA</t>
  </si>
  <si>
    <t>BBVA 2457</t>
  </si>
  <si>
    <t>IMPUESTO PREDIAL 2012-OMICRON 105 Y 643</t>
  </si>
  <si>
    <t>BBVA 2458</t>
  </si>
  <si>
    <t>ARBITRIOS ENE-MAR 2012 / OMICRON 105</t>
  </si>
  <si>
    <t>BBVA 2459</t>
  </si>
  <si>
    <t>ARBITRIOS ENE-MAR 2012 / OMICRON 643</t>
  </si>
  <si>
    <t>REC B-95676853</t>
  </si>
  <si>
    <t>BIF 155</t>
  </si>
  <si>
    <t>CONSUMO ENERO 2012 V.07.02.12-OMICRON 105</t>
  </si>
  <si>
    <t>BBVA DIF 2294</t>
  </si>
  <si>
    <t>CARGA Y LOGISTICA PERU SAC</t>
  </si>
  <si>
    <t>FLETE Y SERVICIO-ELECTRICOS INTERN. F/EX271  FR#22044</t>
  </si>
  <si>
    <t>BBVA 2456</t>
  </si>
  <si>
    <t>HANDLING-ELECTRICOS INTERN. F/EX271  FR#22044</t>
  </si>
  <si>
    <t>001-016763</t>
  </si>
  <si>
    <t>500 BENTONITA SODICA X 30 KLS</t>
  </si>
  <si>
    <t>001-016764</t>
  </si>
  <si>
    <t>333 BENTONITA SODICA X 30 KLS</t>
  </si>
  <si>
    <t>001-016765</t>
  </si>
  <si>
    <t>367 BENTONITA SODICA X 30 KLS</t>
  </si>
  <si>
    <t>001-016766</t>
  </si>
  <si>
    <t>001-016767</t>
  </si>
  <si>
    <t>400 BENTONITA SODICA X 30 KLS</t>
  </si>
  <si>
    <t>001-016768</t>
  </si>
  <si>
    <t>001-016769</t>
  </si>
  <si>
    <t>001-016770</t>
  </si>
  <si>
    <t>683 BENTONITA SODICA X 30 KLS</t>
  </si>
  <si>
    <t>001-000445</t>
  </si>
  <si>
    <t>GASTOS EFECTUADOS X FALSO FLETE-ENTREGA DE BENTONITA EN CUTERVO</t>
  </si>
  <si>
    <t>F/001-000159</t>
  </si>
  <si>
    <t>BCP 97</t>
  </si>
  <si>
    <t>INVERSIONES Y ALQUILERES REGIONALES SAC-INALRE SAC</t>
  </si>
  <si>
    <t>SERV. ALQUILER MES DIC 11 DE GRUAS Y EQUIPOS PARA MANIPULEO DE TORRETAS DEL PAFE EN CAJAMARCA</t>
  </si>
  <si>
    <t>F/001-00160</t>
  </si>
  <si>
    <t>BCP 98</t>
  </si>
  <si>
    <t>SERV. ALQUILER MES OCT Y NOV 11 DE GRUAS Y EQUIPOS PARA MANIPULEO DE PALETAS DEL PAFE EN CAJAMARCA</t>
  </si>
  <si>
    <t>FACTURAS POR PAGAR TELECREDITO DOLARES 03-02-2012</t>
  </si>
  <si>
    <t>0001-160135</t>
  </si>
  <si>
    <t>CABLE NYY Y CONDUCTORES</t>
  </si>
  <si>
    <t>0001-160134</t>
  </si>
  <si>
    <t>CONDUCTORES Y CABLE</t>
  </si>
  <si>
    <t>001-000224</t>
  </si>
  <si>
    <t>SUMINISTROS ONLINE SAC</t>
  </si>
  <si>
    <t>TONER HP LJ</t>
  </si>
  <si>
    <t>001-0207690</t>
  </si>
  <si>
    <t>18.10.11 EL DESCUENTO DEBE SER 32%. COORDINAR CON ANGELICA  / CORREO AMALIA/25.01.12 DEVUELTO EN COPIA FIRMADA POR REPRESENTANTE</t>
  </si>
  <si>
    <t>001-005320</t>
  </si>
  <si>
    <t>DIFERENCIA DE PRECIOS</t>
  </si>
  <si>
    <t>001-074517</t>
  </si>
  <si>
    <t>SUDAMERIS DE RODAMIENTOS SAC</t>
  </si>
  <si>
    <t>004-0278330</t>
  </si>
  <si>
    <t>DISTRIBUIDORA MESAJIL HNOS SAC</t>
  </si>
  <si>
    <t>DISCO DURO DE 500.0GB S.ATA-3 SEAGATE</t>
  </si>
  <si>
    <t>001-005454</t>
  </si>
  <si>
    <t>BOLSAS PLASTICAS</t>
  </si>
  <si>
    <t>001-0031508</t>
  </si>
  <si>
    <t>FILM PACK S.A.C.</t>
  </si>
  <si>
    <t>STRECH FILM</t>
  </si>
  <si>
    <t>FACTURAS POR PAGAR TELECREDITO SOLES 10-02-2012</t>
  </si>
  <si>
    <t>001-002842</t>
  </si>
  <si>
    <t>VALVULA DE BOLA DE 1/2" PN40 PALANCA TIPO MARIPOSA</t>
  </si>
  <si>
    <t>001-0004540</t>
  </si>
  <si>
    <t>02 CASCO DE SEGURIDAD C/SUSPENSION SIMPLE</t>
  </si>
  <si>
    <t>001-0004641</t>
  </si>
  <si>
    <t>BOTINES DE SEGURIDAD</t>
  </si>
  <si>
    <t>001-0006314</t>
  </si>
  <si>
    <t>PIEDRA ESMERIL BLANCA</t>
  </si>
  <si>
    <t>001-0006356</t>
  </si>
  <si>
    <t>DISCO DE DESBATE</t>
  </si>
  <si>
    <t>SCTR SALUD MES ENERO 2012-INCLUSION</t>
  </si>
  <si>
    <t>SCTR PENSION MES ENERO 2012-INCLUSION</t>
  </si>
  <si>
    <t>SCTR SALUD MES FEBRERO 2012</t>
  </si>
  <si>
    <t>SCTR PENSION MES FEBRERO 2012</t>
  </si>
  <si>
    <t>002-0016325</t>
  </si>
  <si>
    <t>FERROLINE - ARGOMIX</t>
  </si>
  <si>
    <t>001-003203</t>
  </si>
  <si>
    <t>MEGA ESTRUCTURAS S.A.</t>
  </si>
  <si>
    <t>FIERRO P/USO DE PLANTA</t>
  </si>
  <si>
    <t>065-0078620</t>
  </si>
  <si>
    <t>001-003204</t>
  </si>
  <si>
    <t>ACEITE QUEMADO</t>
  </si>
  <si>
    <t>27.01.12 OBSXAMALIA</t>
  </si>
  <si>
    <t>FACTURAS Y/O LETRAS POR PAGAR  C/ CHEQUE SOLES AL 10-02-2012</t>
  </si>
  <si>
    <t>BBVA 2460</t>
  </si>
  <si>
    <t>BBVA 2462</t>
  </si>
  <si>
    <t>BBVA 2463</t>
  </si>
  <si>
    <t>BBVA 2464</t>
  </si>
  <si>
    <t>08.02.12 EN PODER DE AMALIA</t>
  </si>
  <si>
    <t>BBVA 2461</t>
  </si>
  <si>
    <t>F/001-002337/2339</t>
  </si>
  <si>
    <t>BBVA 2465</t>
  </si>
  <si>
    <t>CONECTORES A-B DE BRONCE</t>
  </si>
  <si>
    <t>BBVA 2466</t>
  </si>
  <si>
    <t>ESTRADA GUTIERREZ LUIGGI FELIPPE</t>
  </si>
  <si>
    <t>X FIRMAR/EN GG</t>
  </si>
  <si>
    <t>BBVA 2467</t>
  </si>
  <si>
    <t>REEMBOLSO AREA LEGAL 16.01.12-COBRANZA LA COIPA</t>
  </si>
  <si>
    <t>BBVA 2468</t>
  </si>
  <si>
    <t>ENTREGA A RENDIR REF. CASO TURBO</t>
  </si>
  <si>
    <t>BCP 9855637</t>
  </si>
  <si>
    <t>APORTE SENATI MES ENERO 2012</t>
  </si>
  <si>
    <t>REC L00-48862557</t>
  </si>
  <si>
    <t>BCP 9855638</t>
  </si>
  <si>
    <t>CABLE MAGICO-MES DE ENERO 2012</t>
  </si>
  <si>
    <t>FACTURAS POR PAGAR TELECREDITO DOLARES 10-02-2012</t>
  </si>
  <si>
    <t>FACTURAS Y/O LETRAS POR PAGAR  C/ CHEQUE DOLARES AL 10-02-2012</t>
  </si>
  <si>
    <t>F/001-006012</t>
  </si>
  <si>
    <t>BBVA 2115</t>
  </si>
  <si>
    <t>L/100-2337</t>
  </si>
  <si>
    <t>BBVA 2119</t>
  </si>
  <si>
    <t>L/100-2338</t>
  </si>
  <si>
    <t>BBVA 2120</t>
  </si>
  <si>
    <t>FACTURAS Y/O LETRAS POR PAGAR  C/ CARTA DOLARES AL 10-02-2012</t>
  </si>
  <si>
    <t>L/2012.01.027</t>
  </si>
  <si>
    <t>MIMSA 005-12</t>
  </si>
  <si>
    <t>FACTURAS POR PAGAR TELECREDITO SOLES 17-02-2012</t>
  </si>
  <si>
    <t>001-001240</t>
  </si>
  <si>
    <t>001-001242</t>
  </si>
  <si>
    <t>PILAS ALCALINAS AAA</t>
  </si>
  <si>
    <t>001-0057954</t>
  </si>
  <si>
    <t>INDUSTRIAS MANRIQUE S.A.C.</t>
  </si>
  <si>
    <t>BOTINES DE SEGURIDAD DIVERSAS TALLAS</t>
  </si>
  <si>
    <t>029-0038189</t>
  </si>
  <si>
    <t>AISLADOR PIN 56.3 C/ROSCA</t>
  </si>
  <si>
    <t>029-0038225</t>
  </si>
  <si>
    <t>001-0012645</t>
  </si>
  <si>
    <t>MANUEL FELIPE MACETAS MORALES</t>
  </si>
  <si>
    <t>065-0079219</t>
  </si>
  <si>
    <t>065-0078699</t>
  </si>
  <si>
    <t>001-0064478</t>
  </si>
  <si>
    <t>POR DIFERENCIA DE PRECIO F/0065-0078699</t>
  </si>
  <si>
    <t>001-004464</t>
  </si>
  <si>
    <t>GALVANOTECNIA VALMOR S.A.C</t>
  </si>
  <si>
    <t>001-004474</t>
  </si>
  <si>
    <t>SCTR PENSION-INCLUSION-MES FEBRERO 2012</t>
  </si>
  <si>
    <t>SCTR SALUD-INCLUSION-MES FEBRERO 2012</t>
  </si>
  <si>
    <t>BCP 9855639</t>
  </si>
  <si>
    <t>SAUÑE ROJAS LUIS ALBERTO</t>
  </si>
  <si>
    <t>Entregaxrendir-pago hipoteca de CASAS y traslado a Notaria Miraval</t>
  </si>
  <si>
    <t>SCTBK 4206251</t>
  </si>
  <si>
    <t>REEMBOLSO CAJA CHICA Nº004/2012  07.02.12</t>
  </si>
  <si>
    <t>BCP 9855640</t>
  </si>
  <si>
    <t>CASAS YNACIO JUAN ANTONIO</t>
  </si>
  <si>
    <t>SCTBK 4206252</t>
  </si>
  <si>
    <t>REEMBOLSO GASTOS DE GERENCIA Y AFINES Nº2012-0004  07.02.12</t>
  </si>
  <si>
    <t>001-008133</t>
  </si>
  <si>
    <t>SERVICIO DE MONTACARGAS YALE 003</t>
  </si>
  <si>
    <t>FACTURAS POR PAGAR TELECREDITO DOLARES 17-02-2012</t>
  </si>
  <si>
    <t>001-0268460</t>
  </si>
  <si>
    <t>LUBRICANTES Y ACC PEGAMENTO</t>
  </si>
  <si>
    <t>001-0268695</t>
  </si>
  <si>
    <t>RODAMIENTOS 30203 Y 30205 JR</t>
  </si>
  <si>
    <t>001-009214</t>
  </si>
  <si>
    <t>TARJETA DE RED HP</t>
  </si>
  <si>
    <t>C-834</t>
  </si>
  <si>
    <t>POLIZA DE IMPORTACION C-834</t>
  </si>
  <si>
    <t>FACTURAS Y/O LETRAS POR PAGAR  C/ CHEQUE DOLARES AL 17-02-12</t>
  </si>
  <si>
    <t>CUPON 30618804</t>
  </si>
  <si>
    <t>BBVA 2117</t>
  </si>
  <si>
    <t>Seguro anual-vehiculo CQJ-528 Cupon 3/4-El Pacifico Peruano Suiza</t>
  </si>
  <si>
    <t>CUPON 32293447</t>
  </si>
  <si>
    <t>BBVA 2118</t>
  </si>
  <si>
    <t>SEGURO ANUAL VEHICULO PIX432/PIQ897/WGG140/LOCALES OMICRON 105-128/CUPON 1/4</t>
  </si>
  <si>
    <t>FACTURAS POR PAGAR TELECREDITO SOLES 24-02-2012</t>
  </si>
  <si>
    <t>044-0114099</t>
  </si>
  <si>
    <t>AIRE ACONDICIONADO LG-SJ242CD</t>
  </si>
  <si>
    <t>065-0080572</t>
  </si>
  <si>
    <t>065-0080156</t>
  </si>
  <si>
    <t>065-0079835</t>
  </si>
  <si>
    <t>065-0079668</t>
  </si>
  <si>
    <t>001-0006194</t>
  </si>
  <si>
    <t>TAPON AUDITIVO CON BOLSITA Y CORDON LIBUS</t>
  </si>
  <si>
    <t>001-0006195</t>
  </si>
  <si>
    <t>MICA PARA CARETA DE ESMERILAR</t>
  </si>
  <si>
    <t>001-000387</t>
  </si>
  <si>
    <t>GUZMAN GUZMAN ALEXANDRA PAOLA</t>
  </si>
  <si>
    <t>10 TALONARIOS DE VALES DE SALIDA</t>
  </si>
  <si>
    <t>001-0012642</t>
  </si>
  <si>
    <t>001-0012644</t>
  </si>
  <si>
    <t>001-0004703</t>
  </si>
  <si>
    <t xml:space="preserve">GUANTES HYCRON Y RESPIRADOR </t>
  </si>
  <si>
    <t>900-0012234</t>
  </si>
  <si>
    <t>265 GLNS DE GLP</t>
  </si>
  <si>
    <t>504-0104772</t>
  </si>
  <si>
    <t>EPS - MES ENERO 2012</t>
  </si>
  <si>
    <t>118-028926</t>
  </si>
  <si>
    <t>DUA 118-028926 - PROV. IPREL - F/PE 102/11 - FR#21607</t>
  </si>
  <si>
    <t>235-014149</t>
  </si>
  <si>
    <t>DUA 235-014149 - PROV. CI ELECTRICOS INTERNACIONAL - F/EX271 - FR#22044</t>
  </si>
  <si>
    <t>FACTURAS Y/O LETRAS POR PAGAR  C/ CHEQUE SOLES AL 24-02-2012</t>
  </si>
  <si>
    <t>REC 0004-825838244/825838246/825838245/825838247/825838243 +F/009-3620208 V.22.02.12</t>
  </si>
  <si>
    <t>BCP 9855641</t>
  </si>
  <si>
    <t>TELEFONICA DEL PERU Nº4521609/4648622/4988820/5612998/4522369 + YELL PERU CUOTA 02</t>
  </si>
  <si>
    <t>F/002-000874</t>
  </si>
  <si>
    <t>SCTBK 4206253</t>
  </si>
  <si>
    <t>EDGAR LINARES MAZA</t>
  </si>
  <si>
    <t>PLANCHAS LAF Y REDONDO LISO</t>
  </si>
  <si>
    <t>23.02.12 EN PODER DE SHIRLEY</t>
  </si>
  <si>
    <t>F/002-000877</t>
  </si>
  <si>
    <t>SCTBK 4206254</t>
  </si>
  <si>
    <t>REDONDO LISO Y TEE</t>
  </si>
  <si>
    <t>F/002-000862</t>
  </si>
  <si>
    <t>SCTBK 4206255</t>
  </si>
  <si>
    <t>F/002-000868</t>
  </si>
  <si>
    <t>SCTBK 4206256</t>
  </si>
  <si>
    <t>REC 01982526/01982412</t>
  </si>
  <si>
    <t>SCTBK 4206257</t>
  </si>
  <si>
    <t>CONSUMO FEB 2012: OMICRON 643 Y 646</t>
  </si>
  <si>
    <t>RECXHON 001-474</t>
  </si>
  <si>
    <t>BCP 9855642</t>
  </si>
  <si>
    <t>REC C00-47724170/C00-47724234</t>
  </si>
  <si>
    <t>SCTBK 4206258</t>
  </si>
  <si>
    <t>SCOTIABANK / TELEFONICA MOVILES S.A.</t>
  </si>
  <si>
    <t>RPM - CONSUMO MES ENERO 2012</t>
  </si>
  <si>
    <t>F/001-1536/1537/1539/1542</t>
  </si>
  <si>
    <t>BCP 99</t>
  </si>
  <si>
    <t>SUPPLY IMPORT PERU SAC</t>
  </si>
  <si>
    <t>FACTURAS POR PAGAR TELECREDITO DOLARES 24-02-2012</t>
  </si>
  <si>
    <t>001-0006739</t>
  </si>
  <si>
    <t>INNOVACIONES INDUSTRIALES RIPER SA</t>
  </si>
  <si>
    <t>LLAVE MIXTA Y FRANCESA</t>
  </si>
  <si>
    <t>029-0038015</t>
  </si>
  <si>
    <t>AISLADOR DE PORCELANA DE SUSPENSION</t>
  </si>
  <si>
    <t>La factura es entrega a la Srta. Ruth Vanegas para que realice las coordinaciones con el Dpto de Comercial</t>
  </si>
  <si>
    <t>FACTURAS Y/O LETRAS POR PAGAR  C/ CHEQUE DOLARES AL 24-02-12</t>
  </si>
  <si>
    <t>L/100-2352</t>
  </si>
  <si>
    <t>BBVA 2121</t>
  </si>
  <si>
    <t>L/100-2353</t>
  </si>
  <si>
    <t>BBVA 2122</t>
  </si>
  <si>
    <t>REC 001-35553742</t>
  </si>
  <si>
    <t>SCTBK 4206351</t>
  </si>
  <si>
    <t>CONSUMO MES FEBRERO 2012</t>
  </si>
  <si>
    <t>FACTURAS POR PAGAR TELECREDITO DOLARES 11-02-2011</t>
  </si>
  <si>
    <t>001-002839</t>
  </si>
  <si>
    <t>CONSUMO RPM MES DIC 2010</t>
  </si>
  <si>
    <t>001-000181</t>
  </si>
  <si>
    <t>JOBEMARK SAC</t>
  </si>
  <si>
    <t>ADAPTADOR A "G" CASQUILLO</t>
  </si>
  <si>
    <t>C-599</t>
  </si>
  <si>
    <t>POLIZA C-599 IMPORTACIONES</t>
  </si>
  <si>
    <t>F/031-0001261330</t>
  </si>
  <si>
    <t>FACTURAS Y/O LETRAS POR PAGAR  C/ CHEQUE DOLARES AL 11-02-11</t>
  </si>
  <si>
    <t>CUPON 24157640</t>
  </si>
  <si>
    <t>BCP 9946344</t>
  </si>
  <si>
    <t>CUOTA 03/04 SEGURO PATRIMONIAL (LOCAL OMICRON 105/128/136)</t>
  </si>
  <si>
    <t>CUPON 24180848</t>
  </si>
  <si>
    <t>BCP 9946345</t>
  </si>
  <si>
    <t>CUOTA 03/04 SEGURO DE AUTOS (MAZDA PLACA CQJ528- CAMIONETA KIA PLACAS PIX-432/PIQ-897 - CAMION HYUNDAI PLACA CGJ-528)</t>
  </si>
  <si>
    <t>F/001-023500/023528</t>
  </si>
  <si>
    <t>BCP 9946346</t>
  </si>
  <si>
    <t>C&amp;T REPRESENTACIONES S.A.</t>
  </si>
  <si>
    <t>CRISOL PARA ALUMINIO, DEGASER, COVERAL</t>
  </si>
  <si>
    <t>F/001-000139</t>
  </si>
  <si>
    <t>BCP 9946347</t>
  </si>
  <si>
    <t>RAFEL INVERSIONES Y REPRESENTACIONES SAC</t>
  </si>
  <si>
    <t>F/001-000302</t>
  </si>
  <si>
    <t>BCP 0000001</t>
  </si>
  <si>
    <t>INFRAESTRUCTURA &amp; SERVICIOS CONTRATISTAS GENERALES S.A.</t>
  </si>
  <si>
    <t>PLANCHAS Y TUBOS (PAFE III)</t>
  </si>
  <si>
    <t>F/001-004761</t>
  </si>
  <si>
    <t>BCP 9946350</t>
  </si>
  <si>
    <t>ELOY VEGA R. E. HIJOS EIRL</t>
  </si>
  <si>
    <t>O/C 5937</t>
  </si>
  <si>
    <t>BCP DIF 9945176</t>
  </si>
  <si>
    <t>F/001-008609</t>
  </si>
  <si>
    <t>BCP 9946351</t>
  </si>
  <si>
    <t>INDUSTRIALES QUIÑONES SAC</t>
  </si>
  <si>
    <t>PLOMO REFINADO</t>
  </si>
  <si>
    <t>CARTA DE LETRAS Y/O RECIBOS POR PAGAR - SOLES AL 09-02-11</t>
  </si>
  <si>
    <t>L/2964</t>
  </si>
  <si>
    <t>MIMSA 026-11</t>
  </si>
  <si>
    <t>L/36-077276</t>
  </si>
  <si>
    <t>IBM DEL PERU S.A.C.</t>
  </si>
  <si>
    <t>SCOTIABANK</t>
  </si>
  <si>
    <t>MIMSA 027-11</t>
  </si>
  <si>
    <t>FACTURAS POR PAGAR TELECREDITO SOLES 31-03-2012</t>
  </si>
  <si>
    <t>043-0227950</t>
  </si>
  <si>
    <t>065-0081371</t>
  </si>
  <si>
    <t>065-0081076</t>
  </si>
  <si>
    <t>001-017199</t>
  </si>
  <si>
    <t>BENTONITA SODICAX30KLS</t>
  </si>
  <si>
    <t>001-001707</t>
  </si>
  <si>
    <t xml:space="preserve">CAJA DE CARTON PARA TEMPLADOR </t>
  </si>
  <si>
    <t>001-002901</t>
  </si>
  <si>
    <t>001-0023364</t>
  </si>
  <si>
    <t>HOLD ANNOUNCER MES MARZO 2012</t>
  </si>
  <si>
    <t>0001-000604</t>
  </si>
  <si>
    <t>INDUMETAL NORTE SAC</t>
  </si>
  <si>
    <t>CAJAS METALICAS PORTAMEDIDORES MONOFASICAS</t>
  </si>
  <si>
    <t>002-0016559</t>
  </si>
  <si>
    <t xml:space="preserve">FERROLINE (ARGOMIX) Y OXIGENO </t>
  </si>
  <si>
    <t>002-0083868</t>
  </si>
  <si>
    <t>GUIAS DE REMISION</t>
  </si>
  <si>
    <t>002-0083869</t>
  </si>
  <si>
    <t>001-0059771</t>
  </si>
  <si>
    <t>INDUSTRIAS MANRIQUE SAC</t>
  </si>
  <si>
    <t>BOTINES DIELECTRICOS CON PUNTA DE BAKEITA</t>
  </si>
  <si>
    <t>001-001399</t>
  </si>
  <si>
    <t>DISCOS DE CORTE</t>
  </si>
  <si>
    <t>001-005439</t>
  </si>
  <si>
    <t>20 BIDONES DE AGUA</t>
  </si>
  <si>
    <t>504-0110682</t>
  </si>
  <si>
    <t>EPS MES DE MARZO 2012</t>
  </si>
  <si>
    <t>504-0005638</t>
  </si>
  <si>
    <t>DEVOLUCION DE PRIMA-EPS MES FEBRERO 2012</t>
  </si>
  <si>
    <t>001-0012929</t>
  </si>
  <si>
    <t>001-0012936</t>
  </si>
  <si>
    <t>FACTURAS Y/O LETRAS POR PAGAR  C/ CHEQUE SOLES AL 31-03-2012</t>
  </si>
  <si>
    <t>REC 0004-827487873</t>
  </si>
  <si>
    <t>BCP 9855665</t>
  </si>
  <si>
    <t>CONSUMO MARZO 2012 TLF 452-1609</t>
  </si>
  <si>
    <t>REC C00-48294931</t>
  </si>
  <si>
    <t>BCP 9855664</t>
  </si>
  <si>
    <t>CONSUMO MES MARZO 2012 - IPHONE</t>
  </si>
  <si>
    <t>REC S/N</t>
  </si>
  <si>
    <t>BCP 9855666</t>
  </si>
  <si>
    <t>CONSUMO MES MARZO 2012 - RPM'S</t>
  </si>
  <si>
    <t>REC 0004-827487875/827487874/827487876/827487872</t>
  </si>
  <si>
    <t>BCP 9855667</t>
  </si>
  <si>
    <t>CONSUMO MES MARZO 2012: 4648622/4988820/5612998/4522369+F/009-3648944 PAG. AMARILLAS</t>
  </si>
  <si>
    <t>F/001-007249/7250</t>
  </si>
  <si>
    <t>SCTBK 4206269</t>
  </si>
  <si>
    <t>RECARGA Y MNTO DE EXTINTORES</t>
  </si>
  <si>
    <t>F/002-000109/000110</t>
  </si>
  <si>
    <t>SCTBK 4206270</t>
  </si>
  <si>
    <t>CHICOMA ROJAS VANESSA DENISSE</t>
  </si>
  <si>
    <t>SERV. MNTTO Y OTROS</t>
  </si>
  <si>
    <t>REC B-97785045/B-97785234</t>
  </si>
  <si>
    <t>BBVA 2473</t>
  </si>
  <si>
    <t>CONSUMO MARZO 2012-OMICRON 643 Y 105 MZ K LT 2</t>
  </si>
  <si>
    <t>F/001-002355/2356</t>
  </si>
  <si>
    <t>SCTBK 4206268</t>
  </si>
  <si>
    <t>SCTBK 4206271</t>
  </si>
  <si>
    <t>IMPUESTO RENTA 3RA CATEG. PDT 670 - AÑO 2011+INTERESES</t>
  </si>
  <si>
    <t>FACTURAS Y/O LETRAS POR PAGAR  C/ CHEQUE AL 31-03-2012</t>
  </si>
  <si>
    <t>BBVA DIF 2432</t>
  </si>
  <si>
    <t>PAGO SERV. LOGISTICO-KARDEMIR F/KRD/CI-11/MENCAL 11-302C FR#22335</t>
  </si>
  <si>
    <t>BBVA DIF 2296</t>
  </si>
  <si>
    <t>FLETE-QINGDAO DARIWIN-F/DRW12003A-FR#22531</t>
  </si>
  <si>
    <t>BBVA 2472</t>
  </si>
  <si>
    <t>HANDLING-QINGDAO DARIWIN-F/DRW12003A-FR#22531</t>
  </si>
  <si>
    <t>BBVA DIF 2433</t>
  </si>
  <si>
    <t>PAGO SERV. LOGISTICO-QINGDAO DARIWIN-F/DRW12003A-FR#22531</t>
  </si>
  <si>
    <t>BCP 9855660</t>
  </si>
  <si>
    <t>SUNAT/BANCO DE CREDITO</t>
  </si>
  <si>
    <t>ARANCELES-KARDEMIR-F/KRD/CI-11/MENCAL11-302C - FR#22335</t>
  </si>
  <si>
    <t>BCP 9855661</t>
  </si>
  <si>
    <t>PERCEPCION-KARDEMIR-F/KRD/CI-11/MENCAL11-302C - FR#22335</t>
  </si>
  <si>
    <t>BCP 9855662</t>
  </si>
  <si>
    <t>ARANCELES-QINGDAO DARIWIN-F/DRW12003A-FR#22531</t>
  </si>
  <si>
    <t>BCP 9855663</t>
  </si>
  <si>
    <t>PERCEPCION-QINGDAO DARIWIN-F/DRW12003A-FR#22531</t>
  </si>
  <si>
    <t>FACTURAS POR PAGAR TELECREDITO SOLES 30-03-2012</t>
  </si>
  <si>
    <t>001-001968</t>
  </si>
  <si>
    <t>001-001969</t>
  </si>
  <si>
    <t>001-001971</t>
  </si>
  <si>
    <t>001-001972</t>
  </si>
  <si>
    <t>001-001973</t>
  </si>
  <si>
    <t>FACTURAS POR PAGAR TELECREDITO DOLARES 31-03-2012</t>
  </si>
  <si>
    <t>001-005460</t>
  </si>
  <si>
    <t>001-0032831</t>
  </si>
  <si>
    <t>CINTA MASKING TAPE</t>
  </si>
  <si>
    <t>002-0016558</t>
  </si>
  <si>
    <t>029-0039084</t>
  </si>
  <si>
    <t>001-000278</t>
  </si>
  <si>
    <t xml:space="preserve">TONER HP LJ </t>
  </si>
  <si>
    <t>001-000279</t>
  </si>
  <si>
    <t>001-000280</t>
  </si>
  <si>
    <t>C-843</t>
  </si>
  <si>
    <t>POLIZA IMPORTACION C-843</t>
  </si>
  <si>
    <t>FACTURAS Y/O LETRAS POR PAGAR  C/ CHEQUE DOLARES AL 31-03-12</t>
  </si>
  <si>
    <t>F/001-005434</t>
  </si>
  <si>
    <t>SCTBK 4206354</t>
  </si>
  <si>
    <t>MATRIZ PERNO Y TUERCA</t>
  </si>
  <si>
    <t>L/3360</t>
  </si>
  <si>
    <t>BCP 9946516</t>
  </si>
  <si>
    <t>BANCO FINANCIERO</t>
  </si>
  <si>
    <t>FACTURAS Y/O LETRAS POR PAGAR  C/ CARTA DOLARES AL 31-03-12</t>
  </si>
  <si>
    <t>L/3358</t>
  </si>
  <si>
    <t>MIMSA 008-12</t>
  </si>
  <si>
    <t>029-0038897</t>
  </si>
  <si>
    <t>AISLADOR TENSION PORCELANA</t>
  </si>
  <si>
    <t>001-0037949</t>
  </si>
  <si>
    <t>PERNOS - FACTURA CLIENTE - COMPENSACION</t>
  </si>
  <si>
    <t>001-0037950</t>
  </si>
  <si>
    <t>GRAPA DE ANCLAJE - FACTURA CLIENTE - COMPENSACION</t>
  </si>
  <si>
    <t>001-0037951</t>
  </si>
  <si>
    <t>FACTURAS POR PAGAR TELECREDITO SOLES 07-04-2012</t>
  </si>
  <si>
    <t>001-010464</t>
  </si>
  <si>
    <t>SACOS PPP 16"X22" LOGO</t>
  </si>
  <si>
    <t>001-001454</t>
  </si>
  <si>
    <t>CINTAS DE EMBALAJE TRANSP.</t>
  </si>
  <si>
    <t>FACTURAS Y/O LETRAS POR PAGAR  C/ CHEQUE SOLES AL 07-04-2012</t>
  </si>
  <si>
    <t>RECXHON 001-000485</t>
  </si>
  <si>
    <t>BCP 9855951</t>
  </si>
  <si>
    <t>IBK 71490428</t>
  </si>
  <si>
    <t>REEMBOLSO GASTOS DE GERENCIA Y AFINES Nº2012-0007  19.03.12</t>
  </si>
  <si>
    <t>02-04-12 EN PODER DE AMALIA</t>
  </si>
  <si>
    <t>IBK 71490429</t>
  </si>
  <si>
    <t>CATHERINA GURMENDI CUADROS</t>
  </si>
  <si>
    <t>REEMBOLSO CAJA CHICA Nº009/2012   22.03.2012</t>
  </si>
  <si>
    <t>F/001-001456/001457</t>
  </si>
  <si>
    <t>IBK 71490430</t>
  </si>
  <si>
    <t>GRUPO LATEXCO SAC</t>
  </si>
  <si>
    <t>SERV. MNTTO Y RECARGA DE EXTINTORES</t>
  </si>
  <si>
    <t>SCTBK 4206272</t>
  </si>
  <si>
    <t>GARCIA PEÑA EDGARD RAFAEL</t>
  </si>
  <si>
    <t>REC L00-49382435</t>
  </si>
  <si>
    <t>BCP 9855952</t>
  </si>
  <si>
    <t>CONSUMO MES MARZO 2012-CABLE MAGICO</t>
  </si>
  <si>
    <t>REC B-97982266</t>
  </si>
  <si>
    <t>SCTBK 4206273</t>
  </si>
  <si>
    <t>CONSUMO MES FEBRERO 2012-OMICRON 105</t>
  </si>
  <si>
    <t>F/001-001547</t>
  </si>
  <si>
    <t>BCP 9855953</t>
  </si>
  <si>
    <t>SUPLLY IMPORT PERU SAC</t>
  </si>
  <si>
    <t>BBVA 2474</t>
  </si>
  <si>
    <t>REEMBOLSO CAJA CHICA Nº010/2012   30.03.2012</t>
  </si>
  <si>
    <t>FACTURAS Y/O LETRAS POR PAGAR  C/ CHEQUE AL 07-04-2012</t>
  </si>
  <si>
    <t>FACTURAS POR PAGAR TELECREDITO DOLARES 07-04-2012</t>
  </si>
  <si>
    <t>002-0036435</t>
  </si>
  <si>
    <t>TUERCA Y ARANDELAS</t>
  </si>
  <si>
    <t>001-0007077</t>
  </si>
  <si>
    <t>LLAVE STILSON 12"</t>
  </si>
  <si>
    <t>001-0007078</t>
  </si>
  <si>
    <t>LLAVE FRANCESA 10"</t>
  </si>
  <si>
    <t>004-0323852</t>
  </si>
  <si>
    <t>TECNIFAJAS S.A.</t>
  </si>
  <si>
    <t>COJINETE OSCILANTE</t>
  </si>
  <si>
    <t>001-001437</t>
  </si>
  <si>
    <t>REGLA DE ACERO INOX.</t>
  </si>
  <si>
    <t>FACTURAS Y/O LETRAS POR PAGAR  C/ CHEQUE DOLARES AL 07-04-12</t>
  </si>
  <si>
    <t>F/029-0038897</t>
  </si>
  <si>
    <t>BCP 9946517</t>
  </si>
  <si>
    <t>F/001-002354</t>
  </si>
  <si>
    <t>SCTBK 4206355</t>
  </si>
  <si>
    <t>ARANDELA CUADRADA PLANA DE BRONCE</t>
  </si>
  <si>
    <t>REC 001-36609909</t>
  </si>
  <si>
    <t>SCTBK 4206356</t>
  </si>
  <si>
    <t>CONSUMO MES MARZO 2012</t>
  </si>
  <si>
    <t>FACTURAS Y/O LETRAS POR PAGAR  C/ CARTA DOLARES AL 07-04-12</t>
  </si>
  <si>
    <t>FACTURAS POR PAGAR TELECREDITO SOLES 14-04-2012</t>
  </si>
  <si>
    <t>001-000645</t>
  </si>
  <si>
    <t>CONECTORES DE ALUMINIO TIPO DOBLE</t>
  </si>
  <si>
    <t>001-000647</t>
  </si>
  <si>
    <t xml:space="preserve">PERFIL MACHO Y HEMBRA PARA CONECTORES </t>
  </si>
  <si>
    <t>001-017378</t>
  </si>
  <si>
    <t>001-017379</t>
  </si>
  <si>
    <t>065-0082401</t>
  </si>
  <si>
    <t>065-0082402</t>
  </si>
  <si>
    <t>LIMA GAS S.A.-</t>
  </si>
  <si>
    <t>065-0081772</t>
  </si>
  <si>
    <t>065-0081773</t>
  </si>
  <si>
    <t>002-0016632</t>
  </si>
  <si>
    <t>001-0005201</t>
  </si>
  <si>
    <t>LUNAS DE SOLDAR CLARA SIMPLE</t>
  </si>
  <si>
    <t>001-010513</t>
  </si>
  <si>
    <t>SACOS PPP 16"X22" C/L</t>
  </si>
  <si>
    <t>504-0108526</t>
  </si>
  <si>
    <t>EPS MES DE FEBRERO 2012</t>
  </si>
  <si>
    <t>FACTURAS Y/O LETRAS POR PAGAR  C/ CHEQUE SOLES AL 14-04-2012</t>
  </si>
  <si>
    <t>BBVA 2478</t>
  </si>
  <si>
    <t>RETENCION JUDICIAL-UTILIDADES MARZO 2012-IZQUIERDO CAÑOLA MANUEL</t>
  </si>
  <si>
    <t>BCP 9855954</t>
  </si>
  <si>
    <t>APORTE MES DE MARZO 2012</t>
  </si>
  <si>
    <t>BBVA 2475</t>
  </si>
  <si>
    <t>RETENCION JUDICIAL-UTILIDADES MARZO 2012-TERRONES DOMINGUEZ MIGUEL ANGEL</t>
  </si>
  <si>
    <t>BBVA 2476</t>
  </si>
  <si>
    <t>RETENCION JUDICIAL-UTILIDADES MARZO 2012-SEGURA SOLIS MIGUEL ANGEL</t>
  </si>
  <si>
    <t>BCP 9855955</t>
  </si>
  <si>
    <t>PAGO DE CONTRATOS DE TRABAJO EN MINTRA</t>
  </si>
  <si>
    <t>F/001-0078570</t>
  </si>
  <si>
    <t>BBVA 2479</t>
  </si>
  <si>
    <t>BATERIA ETNA</t>
  </si>
  <si>
    <t>BCP 9855956</t>
  </si>
  <si>
    <t>IMPUESTO MARZO 2012-FORM 601</t>
  </si>
  <si>
    <t>BBVA 2480</t>
  </si>
  <si>
    <t>ENTREGA X RENDIR REF. CASO CASAS INGENIEROS</t>
  </si>
  <si>
    <t>BCP 9855963</t>
  </si>
  <si>
    <t>IMPUESTO MARZO 2012-FORM 621+INTERESES</t>
  </si>
  <si>
    <t>BCP 9855964</t>
  </si>
  <si>
    <t>IMPUESTO MARZO 2012-ITAN+INTERESES</t>
  </si>
  <si>
    <t>FACTURAS Y/O LETRAS POR PAGAR  C/ CHEQUE AL 14-04-2012</t>
  </si>
  <si>
    <t>001-001993</t>
  </si>
  <si>
    <t>FACTURAS POR PAGAR TELECREDITO DOLARES 14-04-2012</t>
  </si>
  <si>
    <t>001-0002782</t>
  </si>
  <si>
    <t>PERNOS MULTISTOCK S.A.</t>
  </si>
  <si>
    <t>PERNOS COCHE ZINCADOS</t>
  </si>
  <si>
    <t>001-001436</t>
  </si>
  <si>
    <t>LLAVE STILSON 18"</t>
  </si>
  <si>
    <t>001-001435</t>
  </si>
  <si>
    <t>LLAVE FRANCESA</t>
  </si>
  <si>
    <t>001-017382</t>
  </si>
  <si>
    <t>LADRILLO REFRACTARIO DE 2  1/2</t>
  </si>
  <si>
    <t>FACTURAS Y/O LETRAS POR PAGAR  C/ CHEQUE DOLARES AL 14-04-12</t>
  </si>
  <si>
    <t>CUPON 32293449</t>
  </si>
  <si>
    <t>BBVA 2128</t>
  </si>
  <si>
    <t>SEGURO ANUAL VEHICULO PIX432/PIQ897/WGG140/LOCALES OMICRON 105-128/CUPON 4/4</t>
  </si>
  <si>
    <t>L/3362</t>
  </si>
  <si>
    <t>BCP 9946518</t>
  </si>
  <si>
    <t>F/004-123854/123855/123856/124155</t>
  </si>
  <si>
    <t>BBVA 2125</t>
  </si>
  <si>
    <t>PROMOTORES ELECTRICOS S.A.</t>
  </si>
  <si>
    <t>FUSIBLES</t>
  </si>
  <si>
    <t>F/001-002360</t>
  </si>
  <si>
    <t>BBVA 2126</t>
  </si>
  <si>
    <t>ARANDELAS CUADRADAS</t>
  </si>
  <si>
    <t>F/001-005455</t>
  </si>
  <si>
    <t>BBVA 2127</t>
  </si>
  <si>
    <t>REBARBADOR DE PERNO</t>
  </si>
  <si>
    <t>L/100-2605</t>
  </si>
  <si>
    <t>BBVA 2129</t>
  </si>
  <si>
    <t>L/100-2618</t>
  </si>
  <si>
    <t>BBVA 2131</t>
  </si>
  <si>
    <t>FACTURAS Y/O LETRAS POR PAGAR  C/ CARTA DOLARES AL 14-04-12</t>
  </si>
  <si>
    <t>L/3363</t>
  </si>
  <si>
    <t>MIMSA 009-12</t>
  </si>
  <si>
    <t>L/3366</t>
  </si>
  <si>
    <t>MIMSA 010-12</t>
  </si>
  <si>
    <t xml:space="preserve">L/2012.02.445 </t>
  </si>
  <si>
    <t>MIMSA 011-12</t>
  </si>
  <si>
    <t>L/0000-0061464</t>
  </si>
  <si>
    <t>J.N. ACEROS S.A.</t>
  </si>
  <si>
    <t>MIMSA 012-12</t>
  </si>
  <si>
    <t>FACTURAS POR PAGAR TELECREDITO SOLES 21-04-2012</t>
  </si>
  <si>
    <t>001-0001921</t>
  </si>
  <si>
    <t>COMERCIAL DISTRIBUIDORA BAYONA S.A.C.</t>
  </si>
  <si>
    <t>LENTES TRANSPARENTES DE SEGURIDAD</t>
  </si>
  <si>
    <t>001-0001922</t>
  </si>
  <si>
    <t>GUANTES DE HILO MULTIPROCESOS</t>
  </si>
  <si>
    <t>001-001470</t>
  </si>
  <si>
    <t>HOJAS DE SIERRA</t>
  </si>
  <si>
    <t>SCTR SALUD MES MARZO 2012</t>
  </si>
  <si>
    <t>RIMAC PENSION</t>
  </si>
  <si>
    <t>SCTR PENSION MES MARZO 2012</t>
  </si>
  <si>
    <t>SCTR SALUD MES ABRIL 2012</t>
  </si>
  <si>
    <t>SCTR PENSION MES ABRIL 2012</t>
  </si>
  <si>
    <t>FACTURAS Y/O LETRAS POR PAGAR  C/ CHEQUE SOLES AL 21-04-2012</t>
  </si>
  <si>
    <t>BCP 9855961</t>
  </si>
  <si>
    <t>REEMBOLSO CAJA CHICA Nº 011/2012  09.04.12</t>
  </si>
  <si>
    <t>ORDEN DE DEVOLUCION</t>
  </si>
  <si>
    <t>BBVA 2481</t>
  </si>
  <si>
    <t>MONTAJES E INGENIERIA ARCE SL-SUCURSAL PERU</t>
  </si>
  <si>
    <t>DEVOLUCION DE DINERO X NO CONTAR CON STOCK DE MATERIALES</t>
  </si>
  <si>
    <t>F/001-000617</t>
  </si>
  <si>
    <t>BBVA 2482</t>
  </si>
  <si>
    <t>APS INGENIEROS SAC</t>
  </si>
  <si>
    <t>CANC F/001-000617 - SALDO DE O/C 7080 SERV. CONSULTORIA-DIAGNOSTICO AMBIENTAL</t>
  </si>
  <si>
    <t>17.04.12 EN PODER DE SHIRLEY, FALTA VISTO EN LA FACTURA DE SEGURIDAD INDUSTRIAL</t>
  </si>
  <si>
    <t>F/001-001508/001510</t>
  </si>
  <si>
    <t>BBVA 2483</t>
  </si>
  <si>
    <t>GRUPO LATEXCO S.A.C.</t>
  </si>
  <si>
    <t>RECARGA DE EXTINTORES</t>
  </si>
  <si>
    <t>F/001-004924/004928</t>
  </si>
  <si>
    <t>BBVA 2484</t>
  </si>
  <si>
    <t>F/001-000689</t>
  </si>
  <si>
    <t>BBVA 2485</t>
  </si>
  <si>
    <t>VENTURA SOFTWARE SAC</t>
  </si>
  <si>
    <t>2DA CUOTA - ACTUALIZACION SAP VERSION 8.8</t>
  </si>
  <si>
    <t>BCP 9855965</t>
  </si>
  <si>
    <t>IMPUESTO ENERO 2012 FORM 621. RENTA 3RA CATEG.+INTERESES</t>
  </si>
  <si>
    <t>FACTURAS Y/O LETRAS POR PAGAR  C/ CHEQUE AL 21-04-2012</t>
  </si>
  <si>
    <t>F/001-000823</t>
  </si>
  <si>
    <t>BCP 153</t>
  </si>
  <si>
    <t>SCORPIO CONSULTORES DE NEGOCIOS S.A.C.</t>
  </si>
  <si>
    <t>6TO PAGO X PRESENTACION DE 4TA VALORIZACION-LICITACION PUBLICA INTERN.004-2010-GRC-PROREGION</t>
  </si>
  <si>
    <t>FACTURAS POR PAGAR TELECREDITO DOLARES 21-04-2012</t>
  </si>
  <si>
    <t>0001-016887</t>
  </si>
  <si>
    <t>26.12.11 NO PROGRAMARSE HASTA QUE LAS OBSERVACIONES DE LOS PRODUCTOS SEAN SUBSANADOS (IVAN HERRERA/T.I.)/13.04.12 CORREO DE ANGELICA APROBANDO EL PAGO</t>
  </si>
  <si>
    <t>0001-016929</t>
  </si>
  <si>
    <t>001-0076070</t>
  </si>
  <si>
    <t>CONTRATO DE ARRENDAMIENTO A487 AN001 CUOTA 31/48</t>
  </si>
  <si>
    <t>001-0076071</t>
  </si>
  <si>
    <t>CONTRATO DE ARRENDAMIENTO A487 AN002 CUOTA 22/48</t>
  </si>
  <si>
    <t>001-0077764</t>
  </si>
  <si>
    <t>CONTRATO DE ARRENDAMIENTO A487 AN001 CUOTA 32/48</t>
  </si>
  <si>
    <t>001-0077765</t>
  </si>
  <si>
    <t>CONTRATO DE ARRENDAMIENTO A487 AN002 CUOTA 23/48</t>
  </si>
  <si>
    <t>FACTURAS Y/O LETRAS POR PAGAR  C/ CHEQUE DOLARES AL 21-04-12</t>
  </si>
  <si>
    <t>F/001-000692/000693</t>
  </si>
  <si>
    <t>BCP 9946519</t>
  </si>
  <si>
    <t>ELABORACION ESTUDIO TECNICO DE PRECIOS DE TRANSFERENCIA - EJERCICIO 2010 (30% A LA ENTREGA DEL BORRADOR)</t>
  </si>
  <si>
    <t>F/001-000696</t>
  </si>
  <si>
    <t>BCP 9946520</t>
  </si>
  <si>
    <t>MANTENIMIENTO DE LICENCIAS SAP BUSINESS ONE - AÑO 2012</t>
  </si>
  <si>
    <t>F/002-000910</t>
  </si>
  <si>
    <t>BCP 9946521</t>
  </si>
  <si>
    <t>COFESA &amp; ASOCIADOS S.A.C.</t>
  </si>
  <si>
    <t>PLANCHAS LAF Y LAC, REDONDO LISO Y OTROS</t>
  </si>
  <si>
    <t>17.04.12 EN PODER DE AMALIA</t>
  </si>
  <si>
    <t>F/002-000922</t>
  </si>
  <si>
    <t>BCP 9946522</t>
  </si>
  <si>
    <t>PLANCHAS LAC, REDONDO LISO Y OTROS</t>
  </si>
  <si>
    <t>F/002-000933</t>
  </si>
  <si>
    <t>BCP 9946523</t>
  </si>
  <si>
    <t>PLANCHAS LAF, REDONDO LISO Y OTROS</t>
  </si>
  <si>
    <t>F/002-000940</t>
  </si>
  <si>
    <t>BCP 9946524</t>
  </si>
  <si>
    <t>REDONDO LISO Y PLATINA</t>
  </si>
  <si>
    <t>F/002-000949</t>
  </si>
  <si>
    <t>BCP 9946525</t>
  </si>
  <si>
    <t>REDONDO LISO Y PLANCHA LAF</t>
  </si>
  <si>
    <t>L/12/039</t>
  </si>
  <si>
    <t>BCP 9946526</t>
  </si>
  <si>
    <t>BCP 9946527</t>
  </si>
  <si>
    <t>UGO RAFAEL MENDOZA INGUNZA</t>
  </si>
  <si>
    <t>ADELANTO DE UTILIDADES AÑO 2012</t>
  </si>
  <si>
    <t>L/IT-0202-2012</t>
  </si>
  <si>
    <t>BCP 9946528</t>
  </si>
  <si>
    <t>I&amp;T ELECTRIC S.A.C</t>
  </si>
  <si>
    <t>FACTURAS Y/O LETRAS POR PAGAR  C/ CARTA DOLARES AL 21-04-12</t>
  </si>
  <si>
    <t>FACTURAS POR PAGAR TELECREDITO SOLES 28-04-2012</t>
  </si>
  <si>
    <t>FACTURAS Y/O LETRAS POR PAGAR  C/ CHEQUE SOLES AL 28-04-2012</t>
  </si>
  <si>
    <t>REC C00-49630974/49630975/49292596/49633466/49633465</t>
  </si>
  <si>
    <t>BCP 9855966</t>
  </si>
  <si>
    <t>TELEFONICA MOVILES S.A.-CONSUMO MES DE ABRIL 2012-RPM'S V.25.04.12</t>
  </si>
  <si>
    <t>REC 0004-829151351</t>
  </si>
  <si>
    <t>BCP 9855967</t>
  </si>
  <si>
    <t>TELEFONICA DEL PERU S.A.A.-CONSUMO MES DE ABRIL 2012 - TLF 4521609</t>
  </si>
  <si>
    <t>REC 04851296-12111201204</t>
  </si>
  <si>
    <t>BCP 9855968</t>
  </si>
  <si>
    <t>CONSUMO MES DE ABRIL 2012 - OMICRON 105 V.30.04.12</t>
  </si>
  <si>
    <t>F/0001-004912</t>
  </si>
  <si>
    <t>BCP 9855969</t>
  </si>
  <si>
    <t xml:space="preserve">SERVICIO DE TRANSPORTE </t>
  </si>
  <si>
    <t>F/001-000015</t>
  </si>
  <si>
    <t>BCP 9855971</t>
  </si>
  <si>
    <t>PALETA DE MADERA</t>
  </si>
  <si>
    <t>F/001-0078614</t>
  </si>
  <si>
    <t>BCP 9855972</t>
  </si>
  <si>
    <t>MNTTO VEHICULAR CAMION HYUNDAY WGG-140</t>
  </si>
  <si>
    <t>REC 0004-829151350/829151352/829151353/829151354</t>
  </si>
  <si>
    <t>BCP 9855973</t>
  </si>
  <si>
    <t>TELEFONICA DEL PERU S.A.-CONSUMO MES DE ABRIL 2012-TLF 4522369/4988820/4648622/5612998</t>
  </si>
  <si>
    <t>BBVA 2486</t>
  </si>
  <si>
    <t>REEMBOLSOSXGASOLINASXCOBRANZAS JUDICIALES 02.02.12/14.03.12/28.03.12</t>
  </si>
  <si>
    <t>REC 04851305/04851264</t>
  </si>
  <si>
    <t>BBVA 2487</t>
  </si>
  <si>
    <t>CONSUMO MES DE ABRIL 2012 - OMICRON 643/646 V.30.04.12</t>
  </si>
  <si>
    <t>REC C00-49652136</t>
  </si>
  <si>
    <t>BCP 9855975</t>
  </si>
  <si>
    <t>TELEFONICA MOVILES S.A.-CONSUMO MES DE ABRIL 2012-RPM'S V.25.04.12 (IPHONE)</t>
  </si>
  <si>
    <t>REC C00-49652073</t>
  </si>
  <si>
    <t>BCP 9855976</t>
  </si>
  <si>
    <t>F/001-78682/78683</t>
  </si>
  <si>
    <t>BBVA 2489</t>
  </si>
  <si>
    <t>SERV. DE MNTTO DE LOCAL Y VEHICULAR</t>
  </si>
  <si>
    <t>RECXHON 00001-000445</t>
  </si>
  <si>
    <t>BBVA 2490</t>
  </si>
  <si>
    <t>ENCISO POLACK TERESA DEL PILAR</t>
  </si>
  <si>
    <t>SERV. ADECUACION DE ESPACIO DE TRABAJO EN MKT</t>
  </si>
  <si>
    <t>F/001-006172</t>
  </si>
  <si>
    <t>BBVA 2491</t>
  </si>
  <si>
    <t>BUSQUEDA Y SELECCIÓN DE PERSONAL</t>
  </si>
  <si>
    <t>L/134182</t>
  </si>
  <si>
    <t>BBVA 2493</t>
  </si>
  <si>
    <t>DISTRIBUIDORA NAVARRETE S.A.</t>
  </si>
  <si>
    <t>REC B-98826785</t>
  </si>
  <si>
    <t>BBVA 2495</t>
  </si>
  <si>
    <t>CONSUMO MES DE ABRIL 2012-OMICRON 643</t>
  </si>
  <si>
    <t>F/001-282/285</t>
  </si>
  <si>
    <t>SCTBK 4206274</t>
  </si>
  <si>
    <t>VARILLAS DE BRONCE Y SACOS DE CEMENTO</t>
  </si>
  <si>
    <t>REC B-98826975</t>
  </si>
  <si>
    <t>BBVA 2488</t>
  </si>
  <si>
    <t>CONSUMO MES DE ABRIL 2012-OMICRON MZ L LT 2 / 105</t>
  </si>
  <si>
    <t>F/001-0004007</t>
  </si>
  <si>
    <t>BBVA 2492</t>
  </si>
  <si>
    <t>02.05.12 EN PODER DE AMALIA</t>
  </si>
  <si>
    <t>RECXHON 001-000488</t>
  </si>
  <si>
    <t>BBVA 2496</t>
  </si>
  <si>
    <t>FACTURAS Y/O LETRAS POR PAGAR  C/ CHEQUE AL 28-04-2012</t>
  </si>
  <si>
    <t>BCP 9855977</t>
  </si>
  <si>
    <t>ARANCELES-QINGDAO DARIWIN F/DRW12003B10 FR#23081</t>
  </si>
  <si>
    <t>BCP 9855978</t>
  </si>
  <si>
    <t>PERCEPCION-QINGDAO DARIWIN F/DRW12003B10 FR#23081</t>
  </si>
  <si>
    <t>BBVA DIF 2297</t>
  </si>
  <si>
    <t>FLETE-QINGDAO DARIWIN F/DRW12003B10 FR#23081</t>
  </si>
  <si>
    <t>BBVA 2494</t>
  </si>
  <si>
    <t>HANDLING-QINGDAO DARIWIN F/DRW12003B10 FR#23081</t>
  </si>
  <si>
    <t>BBVA DIF 2434</t>
  </si>
  <si>
    <t>SERV. LOGISTICO INTEGRAL-QINGDAO DARIWIN F/DRW12003B10 FR#23081</t>
  </si>
  <si>
    <t>BCP 154</t>
  </si>
  <si>
    <t>FACTURAS POR PAGAR TELECREDITO DOLARES 28-04-2012</t>
  </si>
  <si>
    <t>002-0233368</t>
  </si>
  <si>
    <t>VELAX S.A.</t>
  </si>
  <si>
    <t>001-002938</t>
  </si>
  <si>
    <t>AMOLADORA BOSCH Y DISCO DE CORTE</t>
  </si>
  <si>
    <t>0001-161813</t>
  </si>
  <si>
    <t>CONDUCTOR DE COBRE DESNUDO</t>
  </si>
  <si>
    <t>0001-161774</t>
  </si>
  <si>
    <t>CONDUCTOR DE ALUMINIO</t>
  </si>
  <si>
    <t>FACTURAS Y/O LETRAS POR PAGAR  C/ CHEQUE DOLARES AL 28-04-12</t>
  </si>
  <si>
    <t>REC 001-37682506</t>
  </si>
  <si>
    <t>SCTBK 4206357</t>
  </si>
  <si>
    <t>CONSUMO MES DE ABRIL 2012</t>
  </si>
  <si>
    <t>F/001-0000250</t>
  </si>
  <si>
    <t>SCTBK 4206358</t>
  </si>
  <si>
    <t>GARIBALDI PERU S.A.C</t>
  </si>
  <si>
    <t>ZUNCHO METALICO</t>
  </si>
  <si>
    <t>FACTURAS Y/O LETRAS POR PAGAR  C/ CARTA DOLARES AL 28-04-12</t>
  </si>
  <si>
    <t>L/3336</t>
  </si>
  <si>
    <t>TOTAL A PAGAR</t>
  </si>
  <si>
    <t>COMPROBANTE DE RETENCION</t>
  </si>
  <si>
    <t>PROV INTERNO</t>
  </si>
  <si>
    <t>FR</t>
  </si>
  <si>
    <t>INVOICE</t>
  </si>
  <si>
    <t>LIMA GAS</t>
  </si>
  <si>
    <t>03 45KG ENVASADO GLP</t>
  </si>
  <si>
    <t>TECNOGAS</t>
  </si>
  <si>
    <t>ARGOMIX</t>
  </si>
  <si>
    <t>FERRETERIA Y MAS</t>
  </si>
  <si>
    <t>TECSUR</t>
  </si>
  <si>
    <t>FACTURAS POR PAGAR TELECREDITO SOLES 05.05.15</t>
  </si>
  <si>
    <t>FACTURAS POR PAGAR TELECREDITO DOLARES 05.05.15</t>
  </si>
  <si>
    <t>FACTURAS POR PAGAR TELECREDITO SOLES 12.05.15</t>
  </si>
  <si>
    <t>FACTURAS POR PAGAR TELECREDITO DOLARES 12.05.15</t>
  </si>
  <si>
    <t>FACTURAS POR PAGAR TELECREDITO SOLES 19.05.15</t>
  </si>
  <si>
    <t>FACTURAS POR PAGAR TELECREDITO DOLARES 19.05.15</t>
  </si>
  <si>
    <t>FACTURAS POR PAGAR TELECREDITO DOLARES 26.05.15</t>
  </si>
  <si>
    <t>FACTURAS POR PAGAR TELECREDITO SOLES 26.05.15</t>
  </si>
  <si>
    <t>043-0281541</t>
  </si>
  <si>
    <t>03 M15KG ALUMINIO ENVASADO GLP</t>
  </si>
  <si>
    <t>043-0281556</t>
  </si>
  <si>
    <t>001-0239217</t>
  </si>
  <si>
    <t>001-000105</t>
  </si>
  <si>
    <t>FAMODE PERU</t>
  </si>
  <si>
    <t>ACCESORIOS DE PLASTICO</t>
  </si>
  <si>
    <t>001-000186</t>
  </si>
  <si>
    <t>DISCO DE SIERRA Y PASTILLA</t>
  </si>
  <si>
    <t>002-0021696</t>
  </si>
  <si>
    <t>GASES Y TECNOLOGIA</t>
  </si>
  <si>
    <t>029-0061368</t>
  </si>
  <si>
    <t>043-0281843</t>
  </si>
  <si>
    <t>04 M15KG ALUMINIO ENVASADO GLP</t>
  </si>
  <si>
    <t>002-000791</t>
  </si>
  <si>
    <t>ELUCHO</t>
  </si>
  <si>
    <t>RECOJO RESIDUOS SOLIDOS DEL 30.03 AL 05.04</t>
  </si>
  <si>
    <t>DETRACCION</t>
  </si>
  <si>
    <t>SASSIN INTERNACIONAL</t>
  </si>
  <si>
    <t>SS3112AM14055S</t>
  </si>
  <si>
    <t>118-111663</t>
  </si>
  <si>
    <t>001-00059686</t>
  </si>
  <si>
    <t>W. MERCHOR</t>
  </si>
  <si>
    <t>G. ALMACENAJE (NEPTUNIA FT/046-0275266)</t>
  </si>
  <si>
    <t>TRANSPORTE (SERVIFREIGHT FT/001-0023240)</t>
  </si>
  <si>
    <t>001-0059702</t>
  </si>
  <si>
    <t>001-002441</t>
  </si>
  <si>
    <t>PLUSCARGO LOGISTICS</t>
  </si>
  <si>
    <t>HANDLING + DESCONSOLIDACION</t>
  </si>
  <si>
    <t>HANGZHOU FEIXIANG</t>
  </si>
  <si>
    <t>MIM-DIC-52/2014</t>
  </si>
  <si>
    <t>118-094180</t>
  </si>
  <si>
    <t>006-0008420</t>
  </si>
  <si>
    <t>DELFIN GROUP</t>
  </si>
  <si>
    <t>SERVICIO LOGISTICO INTEGRAL</t>
  </si>
  <si>
    <t>001-000644</t>
  </si>
  <si>
    <t>OSCAR CONDORI ARELLANO</t>
  </si>
  <si>
    <t xml:space="preserve">TRANSPORTE   </t>
  </si>
  <si>
    <t>001-231336</t>
  </si>
  <si>
    <t>ADUANERA CAPRICORNIO</t>
  </si>
  <si>
    <t>TRAMITE DOCUM (CNP FT/030-0051539)</t>
  </si>
  <si>
    <t>G. ALMACENAJE (DPW FT/004-0138192)</t>
  </si>
  <si>
    <t>001-000649</t>
  </si>
  <si>
    <t>TRANSPORTE</t>
  </si>
  <si>
    <t>BALESTRO</t>
  </si>
  <si>
    <t>BEX010/15</t>
  </si>
  <si>
    <t>118-127042</t>
  </si>
  <si>
    <t>0001-120226</t>
  </si>
  <si>
    <t>GLOBALTEC</t>
  </si>
  <si>
    <t>ENCHUFE Y TERMINAL</t>
  </si>
  <si>
    <t>001-000420</t>
  </si>
  <si>
    <t>YANCE SANCHEZ SANDRA</t>
  </si>
  <si>
    <t>MANTENIMIENTO MONTACARGA</t>
  </si>
  <si>
    <t>001-0053061</t>
  </si>
  <si>
    <t>GASTOS OPERATIVOS</t>
  </si>
  <si>
    <t>001-002440</t>
  </si>
  <si>
    <t>FLETE COLLECT</t>
  </si>
  <si>
    <t>001-002442</t>
  </si>
  <si>
    <t>VISTO BUENO</t>
  </si>
  <si>
    <t>0001-161931</t>
  </si>
  <si>
    <t>007-0007677</t>
  </si>
  <si>
    <t>DELFIN GRUOP</t>
  </si>
  <si>
    <t>HANDLING</t>
  </si>
  <si>
    <t>007-0020924</t>
  </si>
  <si>
    <t>SASSIN INTERNATIONAL</t>
  </si>
  <si>
    <t>0001-162578</t>
  </si>
  <si>
    <t>001-231337</t>
  </si>
  <si>
    <t>AGENCIAMIENTO (TRAMARSA FT/002-737570)</t>
  </si>
  <si>
    <t>DEVOLUCION CNTR (TRAMARSA FT/002-737571)</t>
  </si>
  <si>
    <t>DESCARGA (DPW FT/004-138191)</t>
  </si>
  <si>
    <t>SEGURO CNTR (CNP FT/030-051538)</t>
  </si>
  <si>
    <t>001-0148385</t>
  </si>
  <si>
    <t>RUSH TRANSPORT</t>
  </si>
  <si>
    <t>002-000432</t>
  </si>
  <si>
    <t>ARTICULOS DE LIMPIEZA</t>
  </si>
  <si>
    <t>001-007220</t>
  </si>
  <si>
    <t>SAMEXS</t>
  </si>
  <si>
    <t>LIMPIEZA Y DESINFECCION DE TANQUES</t>
  </si>
  <si>
    <t>002-000796</t>
  </si>
  <si>
    <t>RESIDUOS SOLIDOS DEL 06/04 AL 12/04</t>
  </si>
  <si>
    <t>001-000195</t>
  </si>
  <si>
    <t>FIBRAFORTE</t>
  </si>
  <si>
    <t>001-0045161</t>
  </si>
  <si>
    <t>JEPESA REPRESENTACIONES</t>
  </si>
  <si>
    <t>ESCOBA DE PAJA</t>
  </si>
  <si>
    <t>001-000170</t>
  </si>
  <si>
    <t>JAVIER QUISPICHITO MILLA</t>
  </si>
  <si>
    <t>CONECTORES DE BRONCE</t>
  </si>
  <si>
    <t>001-0060032</t>
  </si>
  <si>
    <t>G. ALMACENAJE (TALMA FT/022-0281706)</t>
  </si>
  <si>
    <t>001-001748</t>
  </si>
  <si>
    <t>BIRKTRANS</t>
  </si>
  <si>
    <t>001-000651</t>
  </si>
  <si>
    <t>OSCAR LEANDRO CONDORI</t>
  </si>
  <si>
    <t>TRAMONTINA ELETRIK</t>
  </si>
  <si>
    <t>235-055149</t>
  </si>
  <si>
    <t>001-000029</t>
  </si>
  <si>
    <t>SUMINISTROS EXPRESS</t>
  </si>
  <si>
    <t>TINTA CANON AREA COM INTERNA</t>
  </si>
  <si>
    <t>029-0061395</t>
  </si>
  <si>
    <t>001-0053271</t>
  </si>
  <si>
    <t>001-013569</t>
  </si>
  <si>
    <t>001-0045274</t>
  </si>
  <si>
    <t>CASCO NORTH</t>
  </si>
  <si>
    <t>001-0045276</t>
  </si>
  <si>
    <t>002-000464</t>
  </si>
  <si>
    <t>001-0001855</t>
  </si>
  <si>
    <t>CORPORACION INDUSTRIAL TABOADA</t>
  </si>
  <si>
    <t>VARIOS</t>
  </si>
  <si>
    <t>001-0001864</t>
  </si>
  <si>
    <t>GUARDACABOS</t>
  </si>
  <si>
    <t>001-000179</t>
  </si>
  <si>
    <t>TEMPLADORES DE OJO</t>
  </si>
  <si>
    <t>001-000325</t>
  </si>
  <si>
    <t>ADARGA</t>
  </si>
  <si>
    <t>30 BIDONES DE AGUA</t>
  </si>
  <si>
    <t>043-0282686</t>
  </si>
  <si>
    <t>04 M15KG ALUMINIO ENVASADO</t>
  </si>
  <si>
    <t>043-0282895</t>
  </si>
  <si>
    <t xml:space="preserve">INSTITUTO DE IMÁGENES MEDICAS </t>
  </si>
  <si>
    <t>EVALUACIONES MEDICAS PRE OCUPACIONALES a  5 trabajadores de MARZO</t>
  </si>
  <si>
    <t>EVALUACIONES MEDICAS PRE OCUPACIONALES a  1 trabajadores de MARZO</t>
  </si>
  <si>
    <t>EVALUACIONES MEDICAS PRE OCUPACIONALES a 1 trabajadores de MARZO</t>
  </si>
  <si>
    <t>006-0039</t>
  </si>
  <si>
    <t>006-0040</t>
  </si>
  <si>
    <t>006-0041</t>
  </si>
  <si>
    <t>011-00001750</t>
  </si>
  <si>
    <t>TUBOS DE FIERRO</t>
  </si>
  <si>
    <t>0001-120660</t>
  </si>
  <si>
    <t>0001-121020</t>
  </si>
  <si>
    <t>001-014818</t>
  </si>
  <si>
    <t>02 TONER ALMACEN Y PRODUCCION</t>
  </si>
  <si>
    <t>001-0012773</t>
  </si>
  <si>
    <t>SERCOM J&amp;P</t>
  </si>
  <si>
    <t>MASCARILLA</t>
  </si>
  <si>
    <t>004-0012770</t>
  </si>
  <si>
    <t>AOM SUMINISTROS</t>
  </si>
  <si>
    <t>GUANTE VENITEX</t>
  </si>
  <si>
    <t>001-0240192</t>
  </si>
  <si>
    <t>001-002309</t>
  </si>
  <si>
    <t>LUBRI SEGURIDAD INDUSTRIAL</t>
  </si>
  <si>
    <t>001-014892</t>
  </si>
  <si>
    <t>02 TONER PARA RECEPCION</t>
  </si>
  <si>
    <t>001-014893</t>
  </si>
  <si>
    <t>02 TONER PARA VENTAS</t>
  </si>
  <si>
    <t>0001-001069</t>
  </si>
  <si>
    <t>RQ GAMER SOLUTIONS</t>
  </si>
  <si>
    <t>DISCO DURO</t>
  </si>
  <si>
    <t>001-0020492</t>
  </si>
  <si>
    <t>FOX ADUANAS</t>
  </si>
  <si>
    <t>006-0008675</t>
  </si>
  <si>
    <t>118-139798</t>
  </si>
  <si>
    <t>MIM-FEB-04/2015 (1)</t>
  </si>
  <si>
    <t>001-0020491</t>
  </si>
  <si>
    <t>001-0017773</t>
  </si>
  <si>
    <t>EMISION DE BL (DELFIN FT/007-0007833)</t>
  </si>
  <si>
    <t>007-0007832</t>
  </si>
  <si>
    <t>007-0021210</t>
  </si>
  <si>
    <t>FLETE DE IMPORTACION</t>
  </si>
  <si>
    <t>001-003252</t>
  </si>
  <si>
    <t>CONFORMACION DEL ACERO</t>
  </si>
  <si>
    <t>001-003253</t>
  </si>
  <si>
    <t>002-000800</t>
  </si>
  <si>
    <t>RESIDUOS SOLIDOS DEL 13/04 ALK 19/04</t>
  </si>
  <si>
    <t>001-000001</t>
  </si>
  <si>
    <t>COMERCIAL BIMDISA</t>
  </si>
  <si>
    <t>BOTIN DE CUERO</t>
  </si>
  <si>
    <t>001-000003</t>
  </si>
  <si>
    <t>001-000004</t>
  </si>
  <si>
    <t>LENTES DE SEGURIDAD</t>
  </si>
  <si>
    <t>001-000006</t>
  </si>
  <si>
    <t>CAMISA, POLO Y PANTALON</t>
  </si>
  <si>
    <t>001-000007</t>
  </si>
  <si>
    <t>001-000011</t>
  </si>
  <si>
    <t>VISOR CLARO</t>
  </si>
  <si>
    <t>001-000012</t>
  </si>
  <si>
    <t>001-000016</t>
  </si>
  <si>
    <t>CASACA DENIM</t>
  </si>
  <si>
    <t>001-000018</t>
  </si>
  <si>
    <t>001-000019</t>
  </si>
  <si>
    <t>001-000020</t>
  </si>
  <si>
    <t>001-000022</t>
  </si>
  <si>
    <t>POLOS Y PANTALON</t>
  </si>
  <si>
    <t>001-0060203</t>
  </si>
  <si>
    <t>G. ALMACENAJE (NEPTUNIA FT/046-0278577)</t>
  </si>
  <si>
    <t>TRANSPORTE (SERVIFREIGHT FT/001-0023586)</t>
  </si>
  <si>
    <t>001-0148806</t>
  </si>
  <si>
    <t>RUSH TRANSPORT DEL PERU</t>
  </si>
  <si>
    <t>DESCARGA Y DESCONSOLIDACION</t>
  </si>
  <si>
    <t>001-0148807</t>
  </si>
  <si>
    <t>VISTOS BUENOS</t>
  </si>
  <si>
    <t>ELECTRICOS INTERNACIONAL</t>
  </si>
  <si>
    <t>EX539</t>
  </si>
  <si>
    <t>118-150969</t>
  </si>
  <si>
    <t>0002-014968</t>
  </si>
  <si>
    <t>ELECTRO CERAMICA CHIMBOTE</t>
  </si>
  <si>
    <t>CASTABLE ALTA LUMINA</t>
  </si>
  <si>
    <t>001-003255</t>
  </si>
  <si>
    <t>ALAMBRE RECOCIDO</t>
  </si>
  <si>
    <t>001-0053403</t>
  </si>
  <si>
    <t>001-0148808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</si>
</sst>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([$€-2]\ * #,##0.00_);_([$€-2]\ * \(#,##0.00\);_([$€-2]\ * \-??_)"/>
    <numFmt numFmtId="165" formatCode="_(* #,##0.00_);_(* \(#,##0.00\);_(* \-??_);_(@_)"/>
    <numFmt numFmtId="166" formatCode="_ * #,##0.00_ ;_ * \-#,##0.00_ ;_ * \-??_ ;_ @_ "/>
    <numFmt numFmtId="167" formatCode="dd\-mm"/>
    <numFmt numFmtId="168" formatCode="&quot;S/. &quot;#,##0.00;[Red]&quot;S/. &quot;#,##0.00"/>
    <numFmt numFmtId="169" formatCode="[$$-240A]\ #,##0.00;[Red][$$-240A]\ #,##0.00"/>
    <numFmt numFmtId="170" formatCode="&quot;S/.&quot;#,##0.00"/>
    <numFmt numFmtId="171" formatCode="dd/mmm"/>
    <numFmt numFmtId="172" formatCode="_ [$S/.-280A]\ * #,##0.00_ ;_ [$S/.-280A]\ * \-#,##0.00_ ;_ [$S/.-280A]\ * \-??_ ;_ @_ "/>
  </numFmts>
  <fonts count="5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  <charset val="1"/>
    </font>
    <font>
      <sz val="11"/>
      <color indexed="8"/>
      <name val="Calibri"/>
      <family val="2"/>
      <charset val="1"/>
    </font>
    <font>
      <sz val="10"/>
      <name val="Arial"/>
      <family val="2"/>
      <charset val="1"/>
    </font>
    <font>
      <sz val="10"/>
      <name val="Mangal"/>
      <family val="2"/>
    </font>
    <font>
      <sz val="10"/>
      <name val="Bookman Old Style"/>
      <family val="1"/>
      <charset val="1"/>
    </font>
    <font>
      <b/>
      <sz val="10"/>
      <color indexed="10"/>
      <name val="Bookman Old Style"/>
      <family val="1"/>
      <charset val="1"/>
    </font>
    <font>
      <b/>
      <sz val="10"/>
      <name val="Bookman Old Style"/>
      <family val="1"/>
      <charset val="1"/>
    </font>
    <font>
      <b/>
      <i/>
      <sz val="14"/>
      <name val="Bookman Old Style"/>
      <family val="1"/>
      <charset val="1"/>
    </font>
    <font>
      <b/>
      <sz val="10"/>
      <color indexed="12"/>
      <name val="Bookman Old Style"/>
      <family val="1"/>
      <charset val="1"/>
    </font>
    <font>
      <b/>
      <u/>
      <sz val="14"/>
      <name val="Bookman Old Style"/>
      <family val="1"/>
      <charset val="1"/>
    </font>
    <font>
      <b/>
      <i/>
      <u/>
      <sz val="10"/>
      <name val="Bookman Old Style"/>
      <family val="1"/>
      <charset val="1"/>
    </font>
    <font>
      <b/>
      <sz val="8"/>
      <color indexed="8"/>
      <name val="Tahoma"/>
      <family val="2"/>
      <charset val="1"/>
    </font>
    <font>
      <sz val="8"/>
      <color indexed="8"/>
      <name val="Tahoma"/>
      <family val="2"/>
      <charset val="1"/>
    </font>
    <font>
      <sz val="8"/>
      <name val="Bookman Old Style"/>
      <family val="1"/>
      <charset val="1"/>
    </font>
    <font>
      <b/>
      <i/>
      <sz val="10"/>
      <name val="Bookman Old Style"/>
      <family val="1"/>
      <charset val="1"/>
    </font>
    <font>
      <b/>
      <sz val="28"/>
      <name val="Bookman Old Style"/>
      <family val="1"/>
      <charset val="1"/>
    </font>
    <font>
      <sz val="9"/>
      <name val="Bookman Old Style"/>
      <family val="1"/>
      <charset val="1"/>
    </font>
    <font>
      <b/>
      <sz val="26"/>
      <name val="Arial"/>
      <family val="2"/>
      <charset val="1"/>
    </font>
    <font>
      <b/>
      <sz val="10"/>
      <name val="Arial"/>
      <family val="2"/>
      <charset val="1"/>
    </font>
    <font>
      <b/>
      <i/>
      <sz val="14"/>
      <color indexed="54"/>
      <name val="Bookman Old Style"/>
      <family val="1"/>
      <charset val="1"/>
    </font>
    <font>
      <b/>
      <sz val="10"/>
      <color indexed="9"/>
      <name val="Bookman Old Style"/>
      <family val="1"/>
      <charset val="1"/>
    </font>
    <font>
      <b/>
      <sz val="10"/>
      <color indexed="30"/>
      <name val="Bookman Old Style"/>
      <family val="1"/>
      <charset val="1"/>
    </font>
    <font>
      <b/>
      <sz val="14"/>
      <color indexed="9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i/>
      <sz val="14"/>
      <color indexed="30"/>
      <name val="Bookman Old Style"/>
      <family val="1"/>
      <charset val="1"/>
    </font>
    <font>
      <b/>
      <sz val="11"/>
      <color indexed="9"/>
      <name val="Bookman Old Style"/>
      <family val="1"/>
      <charset val="1"/>
    </font>
    <font>
      <b/>
      <sz val="10"/>
      <name val="Arial"/>
      <family val="2"/>
    </font>
    <font>
      <b/>
      <sz val="10"/>
      <color rgb="FFFF0000"/>
      <name val="Bookman Old Style"/>
      <family val="1"/>
    </font>
    <font>
      <b/>
      <sz val="10"/>
      <color theme="3" tint="0.39997558519241921"/>
      <name val="Bookman Old Style"/>
      <family val="1"/>
      <charset val="1"/>
    </font>
    <font>
      <sz val="10"/>
      <name val="Bookman Old Style"/>
      <family val="1"/>
    </font>
    <font>
      <sz val="11"/>
      <color indexed="8"/>
      <name val="Calibri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0"/>
      <color rgb="FF0066FF"/>
      <name val="Bookman Old Style"/>
      <family val="1"/>
    </font>
    <font>
      <sz val="10"/>
      <name val="Calibri"/>
      <family val="2"/>
    </font>
    <font>
      <sz val="1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62"/>
        <bgColor indexed="56"/>
      </patternFill>
    </fill>
    <fill>
      <patternFill patternType="solid">
        <fgColor indexed="42"/>
        <bgColor indexed="50"/>
      </patternFill>
    </fill>
    <fill>
      <patternFill patternType="solid">
        <fgColor indexed="50"/>
        <bgColor indexed="42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</borders>
  <cellStyleXfs count="66">
    <xf numFmtId="0" fontId="0" fillId="0" borderId="0"/>
    <xf numFmtId="0" fontId="2" fillId="0" borderId="0"/>
    <xf numFmtId="164" fontId="3" fillId="0" borderId="0" applyFill="0" applyBorder="0" applyAlignment="0" applyProtection="0"/>
    <xf numFmtId="166" fontId="5" fillId="0" borderId="0" applyFill="0" applyBorder="0" applyAlignment="0" applyProtection="0"/>
    <xf numFmtId="0" fontId="4" fillId="0" borderId="0"/>
    <xf numFmtId="165" fontId="5" fillId="0" borderId="0" applyFill="0" applyBorder="0" applyAlignment="0" applyProtection="0"/>
    <xf numFmtId="166" fontId="5" fillId="0" borderId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9" fontId="5" fillId="0" borderId="0" applyFill="0" applyBorder="0" applyAlignment="0" applyProtection="0"/>
    <xf numFmtId="0" fontId="32" fillId="0" borderId="0"/>
    <xf numFmtId="0" fontId="33" fillId="0" borderId="16" applyNumberFormat="0" applyFill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5" fillId="0" borderId="0" applyNumberFormat="0" applyFill="0" applyBorder="0" applyAlignment="0" applyProtection="0"/>
    <xf numFmtId="0" fontId="36" fillId="8" borderId="0" applyNumberFormat="0" applyBorder="0" applyAlignment="0" applyProtection="0"/>
    <xf numFmtId="0" fontId="37" fillId="9" borderId="0" applyNumberFormat="0" applyBorder="0" applyAlignment="0" applyProtection="0"/>
    <xf numFmtId="0" fontId="38" fillId="10" borderId="0" applyNumberFormat="0" applyBorder="0" applyAlignment="0" applyProtection="0"/>
    <xf numFmtId="0" fontId="39" fillId="11" borderId="19" applyNumberFormat="0" applyAlignment="0" applyProtection="0"/>
    <xf numFmtId="0" fontId="40" fillId="12" borderId="20" applyNumberFormat="0" applyAlignment="0" applyProtection="0"/>
    <xf numFmtId="0" fontId="41" fillId="12" borderId="19" applyNumberFormat="0" applyAlignment="0" applyProtection="0"/>
    <xf numFmtId="0" fontId="42" fillId="0" borderId="21" applyNumberFormat="0" applyFill="0" applyAlignment="0" applyProtection="0"/>
    <xf numFmtId="0" fontId="43" fillId="13" borderId="22" applyNumberFormat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24" applyNumberFormat="0" applyFill="0" applyAlignment="0" applyProtection="0"/>
    <xf numFmtId="0" fontId="47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7" fillId="38" borderId="0" applyNumberFormat="0" applyBorder="0" applyAlignment="0" applyProtection="0"/>
    <xf numFmtId="0" fontId="32" fillId="0" borderId="0"/>
    <xf numFmtId="0" fontId="48" fillId="0" borderId="0" applyNumberFormat="0" applyFill="0" applyBorder="0" applyAlignment="0" applyProtection="0"/>
    <xf numFmtId="0" fontId="1" fillId="14" borderId="23" applyNumberFormat="0" applyFont="0" applyAlignment="0" applyProtection="0"/>
    <xf numFmtId="0" fontId="32" fillId="0" borderId="0"/>
  </cellStyleXfs>
  <cellXfs count="265">
    <xf numFmtId="0" fontId="0" fillId="0" borderId="0" xfId="0"/>
    <xf numFmtId="0" fontId="6" fillId="0" borderId="0" xfId="0" applyFont="1" applyFill="1"/>
    <xf numFmtId="14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6" fillId="0" borderId="0" xfId="0" applyFont="1" applyFill="1" applyAlignment="1">
      <alignment horizontal="left"/>
    </xf>
    <xf numFmtId="4" fontId="8" fillId="0" borderId="0" xfId="3" applyNumberFormat="1" applyFont="1" applyFill="1" applyBorder="1" applyAlignment="1" applyProtection="1">
      <alignment horizontal="right" wrapText="1"/>
    </xf>
    <xf numFmtId="14" fontId="9" fillId="0" borderId="0" xfId="0" applyNumberFormat="1" applyFont="1" applyFill="1" applyAlignment="1"/>
    <xf numFmtId="4" fontId="10" fillId="0" borderId="0" xfId="3" applyNumberFormat="1" applyFont="1" applyFill="1" applyBorder="1" applyAlignment="1" applyProtection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4" fontId="6" fillId="0" borderId="0" xfId="0" applyNumberFormat="1" applyFont="1" applyFill="1"/>
    <xf numFmtId="14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67" fontId="8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14" fontId="6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wrapText="1"/>
    </xf>
    <xf numFmtId="14" fontId="6" fillId="0" borderId="1" xfId="0" applyNumberFormat="1" applyFont="1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168" fontId="6" fillId="0" borderId="1" xfId="0" applyNumberFormat="1" applyFont="1" applyFill="1" applyBorder="1" applyAlignment="1">
      <alignment horizontal="left" wrapText="1"/>
    </xf>
    <xf numFmtId="4" fontId="6" fillId="0" borderId="1" xfId="0" applyNumberFormat="1" applyFont="1" applyFill="1" applyBorder="1"/>
    <xf numFmtId="14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7" fontId="7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166" fontId="8" fillId="0" borderId="1" xfId="3" applyFont="1" applyFill="1" applyBorder="1" applyAlignment="1" applyProtection="1">
      <alignment horizontal="center"/>
    </xf>
    <xf numFmtId="169" fontId="8" fillId="0" borderId="1" xfId="0" applyNumberFormat="1" applyFont="1" applyFill="1" applyBorder="1"/>
    <xf numFmtId="14" fontId="6" fillId="0" borderId="0" xfId="0" applyNumberFormat="1" applyFont="1" applyFill="1"/>
    <xf numFmtId="0" fontId="6" fillId="0" borderId="0" xfId="0" applyFont="1" applyFill="1" applyBorder="1"/>
    <xf numFmtId="14" fontId="6" fillId="0" borderId="0" xfId="0" applyNumberFormat="1" applyFont="1" applyFill="1" applyBorder="1" applyAlignment="1">
      <alignment horizontal="center"/>
    </xf>
    <xf numFmtId="14" fontId="9" fillId="0" borderId="0" xfId="0" applyNumberFormat="1" applyFont="1" applyFill="1" applyAlignment="1">
      <alignment horizontal="left"/>
    </xf>
    <xf numFmtId="4" fontId="6" fillId="0" borderId="0" xfId="3" applyNumberFormat="1" applyFont="1" applyFill="1" applyBorder="1" applyAlignment="1" applyProtection="1">
      <alignment horizontal="center" wrapText="1"/>
    </xf>
    <xf numFmtId="0" fontId="15" fillId="0" borderId="1" xfId="0" applyFont="1" applyFill="1" applyBorder="1" applyAlignment="1">
      <alignment horizontal="center" wrapText="1"/>
    </xf>
    <xf numFmtId="0" fontId="15" fillId="0" borderId="2" xfId="0" applyFont="1" applyFill="1" applyBorder="1" applyAlignment="1">
      <alignment wrapText="1"/>
    </xf>
    <xf numFmtId="14" fontId="0" fillId="0" borderId="0" xfId="0" applyNumberFormat="1"/>
    <xf numFmtId="170" fontId="8" fillId="0" borderId="1" xfId="0" applyNumberFormat="1" applyFont="1" applyFill="1" applyBorder="1"/>
    <xf numFmtId="0" fontId="6" fillId="0" borderId="0" xfId="0" applyFont="1" applyAlignment="1">
      <alignment horizontal="center"/>
    </xf>
    <xf numFmtId="14" fontId="6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wrapText="1"/>
    </xf>
    <xf numFmtId="14" fontId="6" fillId="2" borderId="1" xfId="0" applyNumberFormat="1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168" fontId="6" fillId="2" borderId="1" xfId="0" applyNumberFormat="1" applyFont="1" applyFill="1" applyBorder="1" applyAlignment="1">
      <alignment horizontal="left" wrapText="1"/>
    </xf>
    <xf numFmtId="4" fontId="6" fillId="2" borderId="1" xfId="0" applyNumberFormat="1" applyFont="1" applyFill="1" applyBorder="1"/>
    <xf numFmtId="4" fontId="0" fillId="0" borderId="0" xfId="0" applyNumberFormat="1" applyFont="1"/>
    <xf numFmtId="0" fontId="4" fillId="0" borderId="0" xfId="0" applyFont="1"/>
    <xf numFmtId="166" fontId="8" fillId="0" borderId="3" xfId="3" applyFont="1" applyFill="1" applyBorder="1" applyAlignment="1" applyProtection="1">
      <alignment horizontal="center"/>
    </xf>
    <xf numFmtId="0" fontId="6" fillId="0" borderId="0" xfId="0" applyFont="1"/>
    <xf numFmtId="0" fontId="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6" fillId="0" borderId="0" xfId="0" applyFont="1"/>
    <xf numFmtId="0" fontId="8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4" fontId="6" fillId="0" borderId="1" xfId="0" applyNumberFormat="1" applyFont="1" applyBorder="1" applyAlignment="1">
      <alignment horizontal="right" wrapText="1"/>
    </xf>
    <xf numFmtId="166" fontId="8" fillId="0" borderId="0" xfId="3" applyFont="1" applyFill="1" applyBorder="1" applyAlignment="1" applyProtection="1">
      <alignment horizontal="center"/>
    </xf>
    <xf numFmtId="170" fontId="8" fillId="0" borderId="0" xfId="0" applyNumberFormat="1" applyFont="1" applyFill="1" applyBorder="1"/>
    <xf numFmtId="0" fontId="0" fillId="0" borderId="0" xfId="0" applyFill="1" applyBorder="1" applyAlignment="1"/>
    <xf numFmtId="4" fontId="4" fillId="0" borderId="0" xfId="0" applyNumberFormat="1" applyFont="1"/>
    <xf numFmtId="0" fontId="4" fillId="0" borderId="0" xfId="0" applyFont="1" applyFill="1" applyBorder="1"/>
    <xf numFmtId="0" fontId="0" fillId="0" borderId="0" xfId="0" applyFill="1"/>
    <xf numFmtId="0" fontId="6" fillId="3" borderId="1" xfId="0" applyFont="1" applyFill="1" applyBorder="1" applyAlignment="1">
      <alignment horizontal="center"/>
    </xf>
    <xf numFmtId="14" fontId="6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14" fontId="6" fillId="3" borderId="1" xfId="0" applyNumberFormat="1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168" fontId="6" fillId="3" borderId="1" xfId="0" applyNumberFormat="1" applyFont="1" applyFill="1" applyBorder="1" applyAlignment="1">
      <alignment horizontal="left" wrapText="1"/>
    </xf>
    <xf numFmtId="4" fontId="6" fillId="3" borderId="1" xfId="0" applyNumberFormat="1" applyFont="1" applyFill="1" applyBorder="1"/>
    <xf numFmtId="169" fontId="8" fillId="0" borderId="0" xfId="0" applyNumberFormat="1" applyFont="1" applyFill="1" applyBorder="1"/>
    <xf numFmtId="0" fontId="6" fillId="0" borderId="0" xfId="0" applyFont="1" applyFill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6" fillId="0" borderId="0" xfId="0" applyFont="1" applyFill="1"/>
    <xf numFmtId="0" fontId="8" fillId="0" borderId="1" xfId="0" applyFont="1" applyFill="1" applyBorder="1" applyAlignment="1">
      <alignment horizontal="center"/>
    </xf>
    <xf numFmtId="14" fontId="6" fillId="0" borderId="1" xfId="0" applyNumberFormat="1" applyFont="1" applyFill="1" applyBorder="1" applyAlignment="1">
      <alignment horizontal="right" wrapText="1"/>
    </xf>
    <xf numFmtId="14" fontId="0" fillId="0" borderId="0" xfId="0" applyNumberFormat="1" applyFill="1"/>
    <xf numFmtId="166" fontId="4" fillId="0" borderId="0" xfId="3" applyFont="1" applyFill="1" applyBorder="1" applyAlignment="1" applyProtection="1"/>
    <xf numFmtId="0" fontId="0" fillId="0" borderId="0" xfId="0" applyFill="1" applyAlignment="1">
      <alignment wrapText="1"/>
    </xf>
    <xf numFmtId="0" fontId="0" fillId="0" borderId="0" xfId="0" applyFill="1" applyAlignment="1"/>
    <xf numFmtId="0" fontId="0" fillId="3" borderId="0" xfId="0" applyFill="1"/>
    <xf numFmtId="4" fontId="0" fillId="3" borderId="0" xfId="0" applyNumberFormat="1" applyFill="1"/>
    <xf numFmtId="14" fontId="0" fillId="3" borderId="0" xfId="0" applyNumberFormat="1" applyFill="1"/>
    <xf numFmtId="0" fontId="8" fillId="0" borderId="0" xfId="0" applyFont="1" applyBorder="1" applyAlignment="1">
      <alignment horizontal="center"/>
    </xf>
    <xf numFmtId="165" fontId="6" fillId="0" borderId="1" xfId="3" applyNumberFormat="1" applyFont="1" applyFill="1" applyBorder="1" applyAlignment="1" applyProtection="1">
      <alignment horizontal="right"/>
    </xf>
    <xf numFmtId="14" fontId="18" fillId="0" borderId="1" xfId="0" applyNumberFormat="1" applyFont="1" applyFill="1" applyBorder="1" applyAlignment="1">
      <alignment horizontal="center" wrapText="1"/>
    </xf>
    <xf numFmtId="14" fontId="4" fillId="0" borderId="0" xfId="0" applyNumberFormat="1" applyFont="1" applyFill="1"/>
    <xf numFmtId="0" fontId="6" fillId="0" borderId="1" xfId="0" applyFont="1" applyBorder="1" applyAlignment="1">
      <alignment wrapText="1"/>
    </xf>
    <xf numFmtId="0" fontId="0" fillId="0" borderId="1" xfId="0" applyBorder="1"/>
    <xf numFmtId="0" fontId="6" fillId="3" borderId="0" xfId="0" applyFont="1" applyFill="1"/>
    <xf numFmtId="0" fontId="15" fillId="3" borderId="1" xfId="0" applyFont="1" applyFill="1" applyBorder="1" applyAlignment="1">
      <alignment horizontal="center" wrapText="1"/>
    </xf>
    <xf numFmtId="14" fontId="18" fillId="0" borderId="4" xfId="0" applyNumberFormat="1" applyFont="1" applyFill="1" applyBorder="1" applyAlignment="1">
      <alignment horizontal="center"/>
    </xf>
    <xf numFmtId="14" fontId="18" fillId="0" borderId="4" xfId="0" applyNumberFormat="1" applyFont="1" applyFill="1" applyBorder="1" applyAlignment="1">
      <alignment horizontal="center" wrapText="1"/>
    </xf>
    <xf numFmtId="171" fontId="18" fillId="0" borderId="4" xfId="0" applyNumberFormat="1" applyFont="1" applyFill="1" applyBorder="1"/>
    <xf numFmtId="0" fontId="18" fillId="0" borderId="1" xfId="0" applyFont="1" applyFill="1" applyBorder="1"/>
    <xf numFmtId="4" fontId="18" fillId="0" borderId="4" xfId="0" applyNumberFormat="1" applyFont="1" applyFill="1" applyBorder="1" applyAlignment="1">
      <alignment horizontal="right"/>
    </xf>
    <xf numFmtId="14" fontId="18" fillId="0" borderId="1" xfId="0" applyNumberFormat="1" applyFont="1" applyFill="1" applyBorder="1" applyAlignment="1">
      <alignment horizontal="center"/>
    </xf>
    <xf numFmtId="171" fontId="18" fillId="0" borderId="1" xfId="0" applyNumberFormat="1" applyFont="1" applyFill="1" applyBorder="1"/>
    <xf numFmtId="14" fontId="6" fillId="0" borderId="1" xfId="0" applyNumberFormat="1" applyFont="1" applyBorder="1" applyAlignment="1">
      <alignment horizontal="left" wrapText="1"/>
    </xf>
    <xf numFmtId="0" fontId="0" fillId="0" borderId="0" xfId="0" applyAlignment="1"/>
    <xf numFmtId="0" fontId="7" fillId="0" borderId="0" xfId="0" applyFont="1" applyFill="1" applyAlignment="1"/>
    <xf numFmtId="0" fontId="12" fillId="0" borderId="0" xfId="0" applyFont="1" applyFill="1" applyAlignment="1"/>
    <xf numFmtId="167" fontId="8" fillId="0" borderId="1" xfId="0" applyNumberFormat="1" applyFont="1" applyFill="1" applyBorder="1" applyAlignment="1">
      <alignment vertical="center"/>
    </xf>
    <xf numFmtId="14" fontId="6" fillId="0" borderId="1" xfId="0" applyNumberFormat="1" applyFont="1" applyBorder="1" applyAlignment="1">
      <alignment wrapText="1"/>
    </xf>
    <xf numFmtId="167" fontId="7" fillId="0" borderId="0" xfId="0" applyNumberFormat="1" applyFont="1" applyFill="1" applyBorder="1" applyAlignment="1">
      <alignment vertical="center"/>
    </xf>
    <xf numFmtId="169" fontId="8" fillId="0" borderId="3" xfId="0" applyNumberFormat="1" applyFont="1" applyFill="1" applyBorder="1"/>
    <xf numFmtId="170" fontId="0" fillId="0" borderId="0" xfId="0" applyNumberFormat="1"/>
    <xf numFmtId="0" fontId="4" fillId="0" borderId="0" xfId="0" applyFont="1" applyFill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/>
    <xf numFmtId="14" fontId="4" fillId="0" borderId="0" xfId="0" applyNumberFormat="1" applyFont="1"/>
    <xf numFmtId="0" fontId="20" fillId="0" borderId="0" xfId="0" applyFont="1"/>
    <xf numFmtId="0" fontId="2" fillId="0" borderId="1" xfId="0" applyFont="1" applyFill="1" applyBorder="1" applyAlignment="1">
      <alignment horizontal="center" wrapText="1"/>
    </xf>
    <xf numFmtId="14" fontId="21" fillId="0" borderId="0" xfId="0" applyNumberFormat="1" applyFont="1" applyFill="1" applyAlignment="1"/>
    <xf numFmtId="14" fontId="22" fillId="4" borderId="1" xfId="0" applyNumberFormat="1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167" fontId="22" fillId="4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/>
    <xf numFmtId="14" fontId="23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 applyAlignment="1"/>
    <xf numFmtId="0" fontId="24" fillId="0" borderId="0" xfId="0" applyFont="1" applyFill="1" applyBorder="1" applyAlignment="1">
      <alignment wrapText="1"/>
    </xf>
    <xf numFmtId="172" fontId="25" fillId="0" borderId="1" xfId="0" applyNumberFormat="1" applyFont="1" applyFill="1" applyBorder="1"/>
    <xf numFmtId="14" fontId="26" fillId="0" borderId="0" xfId="0" applyNumberFormat="1" applyFont="1" applyFill="1" applyAlignment="1"/>
    <xf numFmtId="0" fontId="16" fillId="0" borderId="0" xfId="0" applyFont="1" applyFill="1" applyAlignment="1">
      <alignment horizontal="left"/>
    </xf>
    <xf numFmtId="14" fontId="23" fillId="0" borderId="1" xfId="0" applyNumberFormat="1" applyFont="1" applyFill="1" applyBorder="1" applyAlignment="1">
      <alignment horizontal="center" wrapText="1"/>
    </xf>
    <xf numFmtId="4" fontId="6" fillId="0" borderId="1" xfId="0" applyNumberFormat="1" applyFont="1" applyFill="1" applyBorder="1" applyAlignment="1"/>
    <xf numFmtId="166" fontId="22" fillId="0" borderId="0" xfId="3" applyFont="1" applyFill="1" applyBorder="1" applyAlignment="1" applyProtection="1"/>
    <xf numFmtId="169" fontId="22" fillId="4" borderId="5" xfId="0" applyNumberFormat="1" applyFont="1" applyFill="1" applyBorder="1"/>
    <xf numFmtId="0" fontId="22" fillId="4" borderId="4" xfId="0" applyFont="1" applyFill="1" applyBorder="1" applyAlignment="1">
      <alignment horizontal="center" vertical="center"/>
    </xf>
    <xf numFmtId="169" fontId="27" fillId="4" borderId="5" xfId="0" applyNumberFormat="1" applyFont="1" applyFill="1" applyBorder="1"/>
    <xf numFmtId="14" fontId="22" fillId="4" borderId="4" xfId="0" applyNumberFormat="1" applyFont="1" applyFill="1" applyBorder="1" applyAlignment="1">
      <alignment horizontal="center" vertical="center"/>
    </xf>
    <xf numFmtId="167" fontId="22" fillId="4" borderId="4" xfId="0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/>
    </xf>
    <xf numFmtId="4" fontId="28" fillId="7" borderId="0" xfId="0" applyNumberFormat="1" applyFont="1" applyFill="1"/>
    <xf numFmtId="0" fontId="6" fillId="0" borderId="7" xfId="0" applyFont="1" applyFill="1" applyBorder="1" applyAlignment="1">
      <alignment horizontal="center"/>
    </xf>
    <xf numFmtId="14" fontId="6" fillId="0" borderId="6" xfId="0" applyNumberFormat="1" applyFont="1" applyFill="1" applyBorder="1" applyAlignment="1">
      <alignment horizontal="center" vertical="top" wrapText="1"/>
    </xf>
    <xf numFmtId="0" fontId="6" fillId="0" borderId="6" xfId="0" applyFont="1" applyFill="1" applyBorder="1" applyAlignment="1">
      <alignment horizontal="center" vertical="top" wrapText="1"/>
    </xf>
    <xf numFmtId="0" fontId="6" fillId="0" borderId="6" xfId="0" applyFont="1" applyFill="1" applyBorder="1" applyAlignment="1">
      <alignment wrapText="1"/>
    </xf>
    <xf numFmtId="0" fontId="6" fillId="0" borderId="6" xfId="0" applyFont="1" applyFill="1" applyBorder="1" applyAlignment="1">
      <alignment vertical="top" wrapText="1"/>
    </xf>
    <xf numFmtId="14" fontId="30" fillId="0" borderId="6" xfId="0" applyNumberFormat="1" applyFont="1" applyFill="1" applyBorder="1" applyAlignment="1">
      <alignment horizontal="center" wrapText="1"/>
    </xf>
    <xf numFmtId="14" fontId="6" fillId="0" borderId="6" xfId="0" applyNumberFormat="1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 wrapText="1"/>
    </xf>
    <xf numFmtId="4" fontId="6" fillId="0" borderId="6" xfId="0" applyNumberFormat="1" applyFont="1" applyFill="1" applyBorder="1" applyAlignment="1"/>
    <xf numFmtId="172" fontId="27" fillId="4" borderId="3" xfId="0" applyNumberFormat="1" applyFont="1" applyFill="1" applyBorder="1"/>
    <xf numFmtId="14" fontId="31" fillId="0" borderId="6" xfId="0" applyNumberFormat="1" applyFont="1" applyFill="1" applyBorder="1" applyAlignment="1">
      <alignment horizontal="center" vertical="top" wrapText="1"/>
    </xf>
    <xf numFmtId="0" fontId="31" fillId="0" borderId="6" xfId="0" applyFont="1" applyFill="1" applyBorder="1" applyAlignment="1">
      <alignment horizontal="center" vertical="top" wrapText="1"/>
    </xf>
    <xf numFmtId="0" fontId="31" fillId="0" borderId="6" xfId="0" applyFont="1" applyFill="1" applyBorder="1" applyAlignment="1">
      <alignment wrapText="1"/>
    </xf>
    <xf numFmtId="0" fontId="31" fillId="0" borderId="6" xfId="0" applyFont="1" applyFill="1" applyBorder="1" applyAlignment="1">
      <alignment vertical="top" wrapText="1"/>
    </xf>
    <xf numFmtId="4" fontId="31" fillId="0" borderId="6" xfId="0" applyNumberFormat="1" applyFont="1" applyFill="1" applyBorder="1"/>
    <xf numFmtId="4" fontId="31" fillId="0" borderId="6" xfId="0" applyNumberFormat="1" applyFont="1" applyFill="1" applyBorder="1" applyAlignment="1"/>
    <xf numFmtId="14" fontId="23" fillId="0" borderId="6" xfId="0" applyNumberFormat="1" applyFont="1" applyFill="1" applyBorder="1" applyAlignment="1">
      <alignment horizontal="center"/>
    </xf>
    <xf numFmtId="0" fontId="29" fillId="0" borderId="6" xfId="0" applyFont="1" applyFill="1" applyBorder="1" applyAlignment="1">
      <alignment wrapText="1"/>
    </xf>
    <xf numFmtId="14" fontId="29" fillId="0" borderId="6" xfId="0" applyNumberFormat="1" applyFont="1" applyFill="1" applyBorder="1" applyAlignment="1">
      <alignment horizontal="center" vertical="top" wrapText="1"/>
    </xf>
    <xf numFmtId="0" fontId="29" fillId="0" borderId="6" xfId="0" applyFont="1" applyFill="1" applyBorder="1" applyAlignment="1">
      <alignment horizontal="left" vertical="top"/>
    </xf>
    <xf numFmtId="0" fontId="29" fillId="0" borderId="6" xfId="0" applyFont="1" applyFill="1" applyBorder="1" applyAlignment="1">
      <alignment vertical="top" wrapText="1"/>
    </xf>
    <xf numFmtId="4" fontId="29" fillId="0" borderId="6" xfId="0" applyNumberFormat="1" applyFont="1" applyFill="1" applyBorder="1"/>
    <xf numFmtId="4" fontId="6" fillId="0" borderId="6" xfId="0" applyNumberFormat="1" applyFont="1" applyFill="1" applyBorder="1"/>
    <xf numFmtId="14" fontId="29" fillId="0" borderId="6" xfId="0" applyNumberFormat="1" applyFont="1" applyFill="1" applyBorder="1" applyAlignment="1">
      <alignment horizontal="center"/>
    </xf>
    <xf numFmtId="0" fontId="6" fillId="0" borderId="6" xfId="0" applyFont="1" applyFill="1" applyBorder="1" applyAlignment="1">
      <alignment vertical="center" wrapText="1"/>
    </xf>
    <xf numFmtId="0" fontId="6" fillId="0" borderId="4" xfId="0" applyFont="1" applyFill="1" applyBorder="1" applyAlignment="1"/>
    <xf numFmtId="0" fontId="6" fillId="0" borderId="4" xfId="0" applyFont="1" applyFill="1" applyBorder="1" applyAlignment="1">
      <alignment wrapText="1"/>
    </xf>
    <xf numFmtId="172" fontId="22" fillId="4" borderId="3" xfId="0" applyNumberFormat="1" applyFont="1" applyFill="1" applyBorder="1"/>
    <xf numFmtId="14" fontId="6" fillId="0" borderId="4" xfId="0" applyNumberFormat="1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 wrapText="1"/>
    </xf>
    <xf numFmtId="0" fontId="6" fillId="0" borderId="4" xfId="0" applyFont="1" applyFill="1" applyBorder="1" applyAlignment="1">
      <alignment horizontal="center"/>
    </xf>
    <xf numFmtId="0" fontId="6" fillId="0" borderId="7" xfId="0" applyFont="1" applyFill="1" applyBorder="1" applyAlignment="1"/>
    <xf numFmtId="2" fontId="0" fillId="0" borderId="0" xfId="0" applyNumberFormat="1" applyFill="1"/>
    <xf numFmtId="2" fontId="6" fillId="0" borderId="4" xfId="0" applyNumberFormat="1" applyFont="1" applyFill="1" applyBorder="1" applyAlignment="1"/>
    <xf numFmtId="14" fontId="23" fillId="0" borderId="4" xfId="0" applyNumberFormat="1" applyFont="1" applyFill="1" applyBorder="1" applyAlignment="1">
      <alignment horizontal="center"/>
    </xf>
    <xf numFmtId="0" fontId="6" fillId="0" borderId="6" xfId="0" applyFont="1" applyFill="1" applyBorder="1" applyAlignment="1"/>
    <xf numFmtId="0" fontId="6" fillId="0" borderId="6" xfId="0" applyFont="1" applyFill="1" applyBorder="1" applyAlignment="1">
      <alignment horizontal="center" vertical="center" wrapText="1"/>
    </xf>
    <xf numFmtId="4" fontId="29" fillId="0" borderId="6" xfId="0" applyNumberFormat="1" applyFont="1" applyFill="1" applyBorder="1" applyAlignment="1"/>
    <xf numFmtId="14" fontId="6" fillId="0" borderId="6" xfId="0" applyNumberFormat="1" applyFont="1" applyFill="1" applyBorder="1" applyAlignment="1">
      <alignment horizontal="center" vertical="center"/>
    </xf>
    <xf numFmtId="172" fontId="25" fillId="0" borderId="3" xfId="0" applyNumberFormat="1" applyFont="1" applyFill="1" applyBorder="1"/>
    <xf numFmtId="2" fontId="6" fillId="0" borderId="6" xfId="0" applyNumberFormat="1" applyFont="1" applyFill="1" applyBorder="1" applyAlignment="1"/>
    <xf numFmtId="14" fontId="6" fillId="0" borderId="6" xfId="0" applyNumberFormat="1" applyFont="1" applyFill="1" applyBorder="1" applyAlignment="1">
      <alignment horizontal="center" vertical="center" wrapText="1"/>
    </xf>
    <xf numFmtId="0" fontId="6" fillId="0" borderId="10" xfId="0" applyFont="1" applyFill="1" applyBorder="1" applyAlignment="1"/>
    <xf numFmtId="2" fontId="6" fillId="0" borderId="5" xfId="0" applyNumberFormat="1" applyFont="1" applyFill="1" applyBorder="1" applyAlignment="1"/>
    <xf numFmtId="0" fontId="6" fillId="0" borderId="11" xfId="0" applyFont="1" applyFill="1" applyBorder="1" applyAlignment="1">
      <alignment wrapText="1"/>
    </xf>
    <xf numFmtId="4" fontId="6" fillId="0" borderId="4" xfId="0" applyNumberFormat="1" applyFont="1" applyFill="1" applyBorder="1" applyAlignment="1"/>
    <xf numFmtId="14" fontId="23" fillId="0" borderId="4" xfId="0" applyNumberFormat="1" applyFont="1" applyFill="1" applyBorder="1" applyAlignment="1">
      <alignment horizontal="center" wrapText="1"/>
    </xf>
    <xf numFmtId="14" fontId="23" fillId="0" borderId="6" xfId="0" applyNumberFormat="1" applyFont="1" applyFill="1" applyBorder="1" applyAlignment="1">
      <alignment horizontal="center" wrapText="1"/>
    </xf>
    <xf numFmtId="0" fontId="31" fillId="0" borderId="6" xfId="0" applyFont="1" applyFill="1" applyBorder="1" applyAlignment="1">
      <alignment vertical="center" wrapText="1"/>
    </xf>
    <xf numFmtId="0" fontId="6" fillId="0" borderId="13" xfId="0" applyFont="1" applyFill="1" applyBorder="1" applyAlignment="1"/>
    <xf numFmtId="2" fontId="6" fillId="0" borderId="14" xfId="0" applyNumberFormat="1" applyFont="1" applyFill="1" applyBorder="1" applyAlignment="1"/>
    <xf numFmtId="2" fontId="6" fillId="0" borderId="15" xfId="0" applyNumberFormat="1" applyFont="1" applyFill="1" applyBorder="1" applyAlignment="1"/>
    <xf numFmtId="16" fontId="0" fillId="0" borderId="0" xfId="0" applyNumberFormat="1"/>
    <xf numFmtId="14" fontId="49" fillId="0" borderId="6" xfId="0" applyNumberFormat="1" applyFont="1" applyFill="1" applyBorder="1" applyAlignment="1">
      <alignment horizontal="center" vertical="top" wrapText="1"/>
    </xf>
    <xf numFmtId="0" fontId="49" fillId="0" borderId="6" xfId="0" applyFont="1" applyFill="1" applyBorder="1" applyAlignment="1">
      <alignment horizontal="center" vertical="top" wrapText="1"/>
    </xf>
    <xf numFmtId="14" fontId="49" fillId="0" borderId="6" xfId="0" applyNumberFormat="1" applyFont="1" applyFill="1" applyBorder="1" applyAlignment="1">
      <alignment horizontal="center"/>
    </xf>
    <xf numFmtId="0" fontId="49" fillId="0" borderId="6" xfId="0" applyFont="1" applyFill="1" applyBorder="1" applyAlignment="1">
      <alignment wrapText="1"/>
    </xf>
    <xf numFmtId="0" fontId="49" fillId="0" borderId="6" xfId="0" applyFont="1" applyFill="1" applyBorder="1" applyAlignment="1">
      <alignment vertical="top" wrapText="1"/>
    </xf>
    <xf numFmtId="4" fontId="49" fillId="0" borderId="6" xfId="0" applyNumberFormat="1" applyFont="1" applyFill="1" applyBorder="1"/>
    <xf numFmtId="4" fontId="49" fillId="0" borderId="6" xfId="0" applyNumberFormat="1" applyFont="1" applyFill="1" applyBorder="1" applyAlignment="1"/>
    <xf numFmtId="14" fontId="29" fillId="0" borderId="1" xfId="0" applyNumberFormat="1" applyFont="1" applyFill="1" applyBorder="1" applyAlignment="1">
      <alignment horizontal="center"/>
    </xf>
    <xf numFmtId="0" fontId="29" fillId="0" borderId="1" xfId="0" applyFont="1" applyFill="1" applyBorder="1" applyAlignment="1">
      <alignment horizontal="left"/>
    </xf>
    <xf numFmtId="0" fontId="29" fillId="0" borderId="1" xfId="0" applyFont="1" applyFill="1" applyBorder="1" applyAlignment="1"/>
    <xf numFmtId="2" fontId="29" fillId="0" borderId="1" xfId="0" applyNumberFormat="1" applyFont="1" applyFill="1" applyBorder="1" applyAlignment="1"/>
    <xf numFmtId="2" fontId="28" fillId="7" borderId="0" xfId="0" applyNumberFormat="1" applyFont="1" applyFill="1"/>
    <xf numFmtId="14" fontId="29" fillId="0" borderId="6" xfId="0" applyNumberFormat="1" applyFont="1" applyFill="1" applyBorder="1" applyAlignment="1">
      <alignment horizontal="center" wrapText="1"/>
    </xf>
    <xf numFmtId="14" fontId="50" fillId="0" borderId="3" xfId="22" applyNumberFormat="1" applyFont="1" applyFill="1" applyBorder="1" applyAlignment="1">
      <alignment horizontal="center" vertical="center"/>
    </xf>
    <xf numFmtId="0" fontId="50" fillId="0" borderId="3" xfId="22" applyFont="1" applyFill="1" applyBorder="1" applyAlignment="1">
      <alignment horizontal="center" vertical="center"/>
    </xf>
    <xf numFmtId="0" fontId="50" fillId="0" borderId="6" xfId="22" applyFont="1" applyFill="1" applyBorder="1" applyAlignment="1">
      <alignment vertical="center"/>
    </xf>
    <xf numFmtId="0" fontId="51" fillId="0" borderId="6" xfId="0" applyFont="1" applyFill="1" applyBorder="1" applyAlignment="1">
      <alignment vertical="center" wrapText="1"/>
    </xf>
    <xf numFmtId="4" fontId="50" fillId="0" borderId="6" xfId="22" applyNumberFormat="1" applyFont="1" applyFill="1" applyBorder="1" applyAlignment="1">
      <alignment vertical="center"/>
    </xf>
    <xf numFmtId="4" fontId="50" fillId="0" borderId="10" xfId="0" applyNumberFormat="1" applyFont="1" applyFill="1" applyBorder="1" applyAlignment="1">
      <alignment vertical="center"/>
    </xf>
    <xf numFmtId="0" fontId="0" fillId="0" borderId="6" xfId="0" applyFill="1" applyBorder="1"/>
    <xf numFmtId="14" fontId="49" fillId="0" borderId="6" xfId="0" applyNumberFormat="1" applyFont="1" applyFill="1" applyBorder="1" applyAlignment="1">
      <alignment horizontal="center" wrapText="1"/>
    </xf>
    <xf numFmtId="0" fontId="29" fillId="0" borderId="6" xfId="0" applyFont="1" applyFill="1" applyBorder="1" applyAlignment="1">
      <alignment horizontal="left"/>
    </xf>
    <xf numFmtId="4" fontId="8" fillId="0" borderId="0" xfId="3" applyNumberFormat="1" applyFont="1" applyFill="1" applyBorder="1" applyAlignment="1" applyProtection="1">
      <alignment horizontal="right" wrapText="1"/>
    </xf>
    <xf numFmtId="0" fontId="11" fillId="0" borderId="0" xfId="0" applyFont="1" applyFill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11" fillId="0" borderId="0" xfId="0" applyFont="1" applyBorder="1" applyAlignment="1">
      <alignment horizontal="center"/>
    </xf>
    <xf numFmtId="0" fontId="17" fillId="5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right" wrapText="1"/>
    </xf>
    <xf numFmtId="0" fontId="8" fillId="0" borderId="0" xfId="0" applyFont="1" applyFill="1" applyBorder="1" applyAlignment="1">
      <alignment horizontal="right" wrapText="1"/>
    </xf>
    <xf numFmtId="0" fontId="9" fillId="0" borderId="0" xfId="0" applyFont="1" applyFill="1" applyBorder="1" applyAlignment="1">
      <alignment horizontal="left"/>
    </xf>
    <xf numFmtId="166" fontId="4" fillId="3" borderId="2" xfId="3" applyFont="1" applyFill="1" applyBorder="1" applyAlignment="1" applyProtection="1">
      <alignment horizontal="center" wrapText="1"/>
    </xf>
    <xf numFmtId="0" fontId="19" fillId="6" borderId="0" xfId="0" applyFont="1" applyFill="1" applyBorder="1" applyAlignment="1">
      <alignment horizontal="center"/>
    </xf>
    <xf numFmtId="0" fontId="22" fillId="4" borderId="9" xfId="0" applyFont="1" applyFill="1" applyBorder="1" applyAlignment="1">
      <alignment horizontal="center" vertical="center"/>
    </xf>
    <xf numFmtId="0" fontId="22" fillId="4" borderId="12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 wrapText="1"/>
    </xf>
    <xf numFmtId="0" fontId="31" fillId="0" borderId="25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 wrapText="1"/>
    </xf>
    <xf numFmtId="4" fontId="8" fillId="0" borderId="0" xfId="3" applyNumberFormat="1" applyFont="1" applyFill="1" applyBorder="1" applyAlignment="1" applyProtection="1">
      <alignment horizontal="right"/>
    </xf>
    <xf numFmtId="14" fontId="31" fillId="0" borderId="8" xfId="0" applyNumberFormat="1" applyFont="1" applyFill="1" applyBorder="1" applyAlignment="1">
      <alignment horizontal="center" vertical="center" wrapText="1"/>
    </xf>
    <xf numFmtId="14" fontId="31" fillId="0" borderId="10" xfId="0" applyNumberFormat="1" applyFont="1" applyFill="1" applyBorder="1" applyAlignment="1">
      <alignment horizontal="center" vertical="center" wrapText="1"/>
    </xf>
    <xf numFmtId="0" fontId="31" fillId="0" borderId="8" xfId="0" applyFont="1" applyFill="1" applyBorder="1" applyAlignment="1">
      <alignment horizontal="left" vertical="center" wrapText="1"/>
    </xf>
    <xf numFmtId="0" fontId="31" fillId="0" borderId="10" xfId="0" applyFont="1" applyFill="1" applyBorder="1" applyAlignment="1">
      <alignment horizontal="left" vertical="center" wrapText="1"/>
    </xf>
    <xf numFmtId="14" fontId="23" fillId="0" borderId="8" xfId="0" applyNumberFormat="1" applyFont="1" applyFill="1" applyBorder="1" applyAlignment="1">
      <alignment horizontal="center" vertical="center"/>
    </xf>
    <xf numFmtId="14" fontId="23" fillId="0" borderId="10" xfId="0" applyNumberFormat="1" applyFont="1" applyFill="1" applyBorder="1" applyAlignment="1">
      <alignment horizontal="center" vertical="center"/>
    </xf>
    <xf numFmtId="166" fontId="22" fillId="4" borderId="9" xfId="3" applyFont="1" applyFill="1" applyBorder="1" applyAlignment="1" applyProtection="1">
      <alignment horizontal="center"/>
    </xf>
    <xf numFmtId="0" fontId="31" fillId="0" borderId="25" xfId="0" applyFont="1" applyFill="1" applyBorder="1" applyAlignment="1">
      <alignment horizontal="left" vertical="center" wrapText="1"/>
    </xf>
    <xf numFmtId="14" fontId="31" fillId="0" borderId="8" xfId="0" applyNumberFormat="1" applyFont="1" applyFill="1" applyBorder="1" applyAlignment="1">
      <alignment horizontal="center" vertical="center"/>
    </xf>
    <xf numFmtId="14" fontId="31" fillId="0" borderId="25" xfId="0" applyNumberFormat="1" applyFont="1" applyFill="1" applyBorder="1" applyAlignment="1">
      <alignment horizontal="center" vertical="center"/>
    </xf>
    <xf numFmtId="14" fontId="31" fillId="0" borderId="10" xfId="0" applyNumberFormat="1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31" fillId="0" borderId="25" xfId="0" applyFont="1" applyFill="1" applyBorder="1" applyAlignment="1">
      <alignment horizontal="center" vertical="center"/>
    </xf>
    <xf numFmtId="0" fontId="31" fillId="0" borderId="10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 wrapText="1"/>
    </xf>
    <xf numFmtId="0" fontId="6" fillId="0" borderId="25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166" fontId="22" fillId="4" borderId="0" xfId="3" applyFont="1" applyFill="1" applyBorder="1" applyAlignment="1" applyProtection="1">
      <alignment horizontal="center"/>
    </xf>
    <xf numFmtId="0" fontId="6" fillId="0" borderId="4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166" fontId="22" fillId="4" borderId="9" xfId="3" applyFont="1" applyFill="1" applyBorder="1" applyAlignment="1" applyProtection="1">
      <alignment horizontal="center" wrapText="1"/>
    </xf>
    <xf numFmtId="0" fontId="22" fillId="4" borderId="0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4" fontId="6" fillId="0" borderId="3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left" vertical="center"/>
    </xf>
    <xf numFmtId="0" fontId="6" fillId="0" borderId="28" xfId="0" applyFont="1" applyFill="1" applyBorder="1" applyAlignment="1">
      <alignment horizontal="left" vertical="center"/>
    </xf>
    <xf numFmtId="0" fontId="6" fillId="0" borderId="29" xfId="0" applyFont="1" applyFill="1" applyBorder="1" applyAlignment="1"/>
    <xf numFmtId="0" fontId="29" fillId="0" borderId="7" xfId="0" applyFont="1" applyFill="1" applyBorder="1" applyAlignment="1"/>
    <xf numFmtId="2" fontId="29" fillId="0" borderId="30" xfId="0" applyNumberFormat="1" applyFont="1" applyFill="1" applyBorder="1" applyAlignment="1"/>
    <xf numFmtId="0" fontId="29" fillId="0" borderId="4" xfId="0" applyFont="1" applyFill="1" applyBorder="1" applyAlignment="1"/>
    <xf numFmtId="0" fontId="22" fillId="4" borderId="31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/>
    </xf>
    <xf numFmtId="169" fontId="8" fillId="0" borderId="5" xfId="0" applyNumberFormat="1" applyFont="1" applyFill="1" applyBorder="1"/>
    <xf numFmtId="0" fontId="6" fillId="0" borderId="8" xfId="0" applyFont="1" applyFill="1" applyBorder="1" applyAlignment="1">
      <alignment horizontal="center" wrapText="1"/>
    </xf>
    <xf numFmtId="0" fontId="6" fillId="0" borderId="10" xfId="0" applyFont="1" applyFill="1" applyBorder="1" applyAlignment="1">
      <alignment horizontal="center" wrapText="1"/>
    </xf>
  </cellXfs>
  <cellStyles count="66">
    <cellStyle name="20% - Énfasis1" xfId="39" builtinId="30" customBuiltin="1"/>
    <cellStyle name="20% - Énfasis2" xfId="43" builtinId="34" customBuiltin="1"/>
    <cellStyle name="20% - Énfasis3" xfId="47" builtinId="38" customBuiltin="1"/>
    <cellStyle name="20% - Énfasis4" xfId="51" builtinId="42" customBuiltin="1"/>
    <cellStyle name="20% - Énfasis5" xfId="55" builtinId="46" customBuiltin="1"/>
    <cellStyle name="20% - Énfasis6" xfId="59" builtinId="50" customBuiltin="1"/>
    <cellStyle name="40% - Énfasis1" xfId="40" builtinId="31" customBuiltin="1"/>
    <cellStyle name="40% - Énfasis2" xfId="44" builtinId="35" customBuiltin="1"/>
    <cellStyle name="40% - Énfasis3" xfId="48" builtinId="39" customBuiltin="1"/>
    <cellStyle name="40% - Énfasis4" xfId="52" builtinId="43" customBuiltin="1"/>
    <cellStyle name="40% - Énfasis5" xfId="56" builtinId="47" customBuiltin="1"/>
    <cellStyle name="40% - Énfasis6" xfId="60" builtinId="51" customBuiltin="1"/>
    <cellStyle name="60% - Énfasis1" xfId="41" builtinId="32" customBuiltin="1"/>
    <cellStyle name="60% - Énfasis2" xfId="45" builtinId="36" customBuiltin="1"/>
    <cellStyle name="60% - Énfasis3" xfId="49" builtinId="40" customBuiltin="1"/>
    <cellStyle name="60% - Énfasis4" xfId="53" builtinId="44" customBuiltin="1"/>
    <cellStyle name="60% - Énfasis5" xfId="57" builtinId="48" customBuiltin="1"/>
    <cellStyle name="60% - Énfasis6" xfId="61" builtinId="52" customBuiltin="1"/>
    <cellStyle name="Buena" xfId="27" builtinId="26" customBuiltin="1"/>
    <cellStyle name="Cálculo" xfId="32" builtinId="22" customBuiltin="1"/>
    <cellStyle name="Cancel" xfId="1"/>
    <cellStyle name="Celda de comprobación" xfId="34" builtinId="23" customBuiltin="1"/>
    <cellStyle name="Celda vinculada" xfId="33" builtinId="24" customBuiltin="1"/>
    <cellStyle name="Encabezado 1" xfId="23" builtinId="16" customBuiltin="1"/>
    <cellStyle name="Encabezado 4" xfId="26" builtinId="19" customBuiltin="1"/>
    <cellStyle name="Énfasis1" xfId="38" builtinId="29" customBuiltin="1"/>
    <cellStyle name="Énfasis2" xfId="42" builtinId="33" customBuiltin="1"/>
    <cellStyle name="Énfasis3" xfId="46" builtinId="37" customBuiltin="1"/>
    <cellStyle name="Énfasis4" xfId="50" builtinId="41" customBuiltin="1"/>
    <cellStyle name="Énfasis5" xfId="54" builtinId="45" customBuiltin="1"/>
    <cellStyle name="Énfasis6" xfId="58" builtinId="49" customBuiltin="1"/>
    <cellStyle name="Entrada" xfId="30" builtinId="20" customBuiltin="1"/>
    <cellStyle name="Euro" xfId="2"/>
    <cellStyle name="Excel Built-in Normal" xfId="22"/>
    <cellStyle name="Incorrecto" xfId="28" builtinId="27" customBuiltin="1"/>
    <cellStyle name="Millares" xfId="3" builtinId="3"/>
    <cellStyle name="Millares 2" xfId="4"/>
    <cellStyle name="Millares 2 2" xfId="5"/>
    <cellStyle name="Millares 3" xfId="6"/>
    <cellStyle name="Neutral" xfId="29" builtinId="28" customBuiltin="1"/>
    <cellStyle name="Normal" xfId="0" builtinId="0"/>
    <cellStyle name="Normal 2" xfId="7"/>
    <cellStyle name="Normal 2 2" xfId="8"/>
    <cellStyle name="Normal 2 3" xfId="9"/>
    <cellStyle name="Normal 2 4" xfId="10"/>
    <cellStyle name="Normal 2 5" xfId="11"/>
    <cellStyle name="Normal 2 6" xfId="12"/>
    <cellStyle name="Normal 2 7" xfId="65"/>
    <cellStyle name="Normal 3" xfId="13"/>
    <cellStyle name="Normal 4" xfId="14"/>
    <cellStyle name="Normal 4 2" xfId="15"/>
    <cellStyle name="Normal 5" xfId="16"/>
    <cellStyle name="Normal 5 2" xfId="17"/>
    <cellStyle name="Normal 6" xfId="18"/>
    <cellStyle name="Normal 7" xfId="19"/>
    <cellStyle name="Normal 8" xfId="20"/>
    <cellStyle name="Normal 9" xfId="62"/>
    <cellStyle name="Notas 2" xfId="64"/>
    <cellStyle name="Porcentual 2" xfId="21"/>
    <cellStyle name="Salida" xfId="31" builtinId="21" customBuiltin="1"/>
    <cellStyle name="Texto de advertencia" xfId="35" builtinId="11" customBuiltin="1"/>
    <cellStyle name="Texto explicativo" xfId="36" builtinId="53" customBuiltin="1"/>
    <cellStyle name="Título 2" xfId="24" builtinId="17" customBuiltin="1"/>
    <cellStyle name="Título 3" xfId="25" builtinId="18" customBuiltin="1"/>
    <cellStyle name="Título 4" xfId="63"/>
    <cellStyle name="Total" xfId="37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7030A0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99FF99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C00"/>
      <rgbColor rgb="00FF9900"/>
      <rgbColor rgb="00FF3333"/>
      <rgbColor rgb="00558ED5"/>
      <rgbColor rgb="00969696"/>
      <rgbColor rgb="00003366"/>
      <rgbColor rgb="00339966"/>
      <rgbColor rgb="00003300"/>
      <rgbColor rgb="00333300"/>
      <rgbColor rgb="00993300"/>
      <rgbColor rgb="009933FF"/>
      <rgbColor rgb="001F497D"/>
      <rgbColor rgb="00333333"/>
    </indexed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J102"/>
  <sheetViews>
    <sheetView topLeftCell="A54" workbookViewId="0">
      <selection activeCell="A54" sqref="A54"/>
    </sheetView>
  </sheetViews>
  <sheetFormatPr baseColWidth="10" defaultColWidth="10.7109375" defaultRowHeight="12.75" x14ac:dyDescent="0.2"/>
  <cols>
    <col min="1" max="1" width="3.7109375" customWidth="1"/>
    <col min="2" max="2" width="13.140625" customWidth="1"/>
    <col min="4" max="4" width="14.42578125" customWidth="1"/>
    <col min="5" max="5" width="29.7109375" customWidth="1"/>
    <col min="6" max="6" width="32.28515625" customWidth="1"/>
    <col min="7" max="7" width="14.42578125" customWidth="1"/>
    <col min="8" max="8" width="12" customWidth="1"/>
  </cols>
  <sheetData>
    <row r="1" spans="1:7" ht="15" customHeight="1" x14ac:dyDescent="0.3">
      <c r="A1" s="1"/>
      <c r="B1" s="2"/>
      <c r="C1" s="3"/>
      <c r="D1" s="4"/>
      <c r="E1" s="5"/>
      <c r="F1" s="207" t="s">
        <v>0</v>
      </c>
      <c r="G1" s="207"/>
    </row>
    <row r="2" spans="1:7" ht="18.75" x14ac:dyDescent="0.3">
      <c r="A2" s="7" t="s">
        <v>1</v>
      </c>
      <c r="B2" s="7"/>
      <c r="C2" s="3"/>
      <c r="D2" s="4"/>
      <c r="E2" s="5"/>
      <c r="F2" s="5"/>
      <c r="G2" s="8"/>
    </row>
    <row r="3" spans="1:7" ht="15" x14ac:dyDescent="0.3">
      <c r="A3" s="1"/>
      <c r="B3" s="2"/>
      <c r="C3" s="3"/>
      <c r="D3" s="4"/>
      <c r="E3" s="5"/>
      <c r="F3" s="5"/>
      <c r="G3" s="8"/>
    </row>
    <row r="4" spans="1:7" ht="15" x14ac:dyDescent="0.3">
      <c r="A4" s="1"/>
      <c r="B4" s="2"/>
      <c r="C4" s="3"/>
      <c r="D4" s="4"/>
      <c r="E4" s="5"/>
      <c r="F4" s="5"/>
      <c r="G4" s="8"/>
    </row>
    <row r="5" spans="1:7" ht="18" x14ac:dyDescent="0.25">
      <c r="A5" s="208" t="s">
        <v>31</v>
      </c>
      <c r="B5" s="208"/>
      <c r="C5" s="208"/>
      <c r="D5" s="208"/>
      <c r="E5" s="208"/>
      <c r="F5" s="208"/>
      <c r="G5" s="208"/>
    </row>
    <row r="6" spans="1:7" ht="15" x14ac:dyDescent="0.3">
      <c r="A6" s="1"/>
      <c r="B6" s="9"/>
      <c r="C6" s="9"/>
      <c r="D6" s="9"/>
      <c r="E6" s="9"/>
      <c r="F6" s="10"/>
      <c r="G6" s="11"/>
    </row>
    <row r="7" spans="1:7" x14ac:dyDescent="0.2">
      <c r="A7" s="12" t="s">
        <v>2</v>
      </c>
      <c r="B7" s="12" t="s">
        <v>3</v>
      </c>
      <c r="C7" s="13" t="s">
        <v>4</v>
      </c>
      <c r="D7" s="14" t="s">
        <v>5</v>
      </c>
      <c r="E7" s="13" t="s">
        <v>6</v>
      </c>
      <c r="F7" s="13" t="s">
        <v>7</v>
      </c>
      <c r="G7" s="13" t="s">
        <v>32</v>
      </c>
    </row>
    <row r="8" spans="1:7" ht="30" x14ac:dyDescent="0.3">
      <c r="A8" s="15">
        <v>1</v>
      </c>
      <c r="B8" s="16">
        <v>40568</v>
      </c>
      <c r="C8" s="17" t="s">
        <v>33</v>
      </c>
      <c r="D8" s="18">
        <f t="shared" ref="D8:D13" si="0">+B8+30</f>
        <v>40598</v>
      </c>
      <c r="E8" s="19" t="s">
        <v>34</v>
      </c>
      <c r="F8" s="20" t="s">
        <v>35</v>
      </c>
      <c r="G8" s="21">
        <v>7616</v>
      </c>
    </row>
    <row r="9" spans="1:7" ht="30" x14ac:dyDescent="0.3">
      <c r="A9" s="15">
        <v>2</v>
      </c>
      <c r="B9" s="16">
        <v>40564</v>
      </c>
      <c r="C9" s="17" t="s">
        <v>36</v>
      </c>
      <c r="D9" s="18">
        <f t="shared" si="0"/>
        <v>40594</v>
      </c>
      <c r="E9" s="19" t="s">
        <v>37</v>
      </c>
      <c r="F9" s="20" t="s">
        <v>38</v>
      </c>
      <c r="G9" s="21">
        <v>174.93</v>
      </c>
    </row>
    <row r="10" spans="1:7" ht="30" x14ac:dyDescent="0.3">
      <c r="A10" s="15">
        <v>3</v>
      </c>
      <c r="B10" s="16">
        <v>40563</v>
      </c>
      <c r="C10" s="17" t="s">
        <v>39</v>
      </c>
      <c r="D10" s="18">
        <f t="shared" si="0"/>
        <v>40593</v>
      </c>
      <c r="E10" s="19" t="s">
        <v>40</v>
      </c>
      <c r="F10" s="20" t="s">
        <v>41</v>
      </c>
      <c r="G10" s="21">
        <v>227.97</v>
      </c>
    </row>
    <row r="11" spans="1:7" ht="30" x14ac:dyDescent="0.3">
      <c r="A11" s="15">
        <v>4</v>
      </c>
      <c r="B11" s="16">
        <v>40563</v>
      </c>
      <c r="C11" s="17" t="s">
        <v>42</v>
      </c>
      <c r="D11" s="18">
        <f t="shared" si="0"/>
        <v>40593</v>
      </c>
      <c r="E11" s="19" t="s">
        <v>40</v>
      </c>
      <c r="F11" s="20" t="s">
        <v>41</v>
      </c>
      <c r="G11" s="21">
        <v>1032.02</v>
      </c>
    </row>
    <row r="12" spans="1:7" ht="30" x14ac:dyDescent="0.3">
      <c r="A12" s="15">
        <v>5</v>
      </c>
      <c r="B12" s="16">
        <v>40563</v>
      </c>
      <c r="C12" s="17" t="s">
        <v>43</v>
      </c>
      <c r="D12" s="18">
        <f t="shared" si="0"/>
        <v>40593</v>
      </c>
      <c r="E12" s="19" t="s">
        <v>44</v>
      </c>
      <c r="F12" s="20" t="s">
        <v>45</v>
      </c>
      <c r="G12" s="21">
        <v>247.62</v>
      </c>
    </row>
    <row r="13" spans="1:7" ht="30" x14ac:dyDescent="0.3">
      <c r="A13" s="15">
        <v>6</v>
      </c>
      <c r="B13" s="16">
        <v>40565</v>
      </c>
      <c r="C13" s="17" t="s">
        <v>46</v>
      </c>
      <c r="D13" s="18">
        <f t="shared" si="0"/>
        <v>40595</v>
      </c>
      <c r="E13" s="19" t="s">
        <v>44</v>
      </c>
      <c r="F13" s="20" t="s">
        <v>47</v>
      </c>
      <c r="G13" s="21">
        <v>529.54999999999995</v>
      </c>
    </row>
    <row r="14" spans="1:7" ht="30" x14ac:dyDescent="0.3">
      <c r="A14" s="15">
        <v>7</v>
      </c>
      <c r="B14" s="16">
        <v>40575</v>
      </c>
      <c r="C14" s="17" t="s">
        <v>48</v>
      </c>
      <c r="D14" s="18">
        <f t="shared" ref="D14:D23" si="1">+B14+15</f>
        <v>40590</v>
      </c>
      <c r="E14" s="19" t="s">
        <v>49</v>
      </c>
      <c r="F14" s="20" t="s">
        <v>50</v>
      </c>
      <c r="G14" s="21">
        <v>354.7</v>
      </c>
    </row>
    <row r="15" spans="1:7" ht="30" x14ac:dyDescent="0.3">
      <c r="A15" s="15">
        <v>8</v>
      </c>
      <c r="B15" s="16">
        <v>40575</v>
      </c>
      <c r="C15" s="17" t="s">
        <v>51</v>
      </c>
      <c r="D15" s="18">
        <f t="shared" si="1"/>
        <v>40590</v>
      </c>
      <c r="E15" s="19" t="s">
        <v>49</v>
      </c>
      <c r="F15" s="20" t="s">
        <v>50</v>
      </c>
      <c r="G15" s="21">
        <v>31.4</v>
      </c>
    </row>
    <row r="16" spans="1:7" ht="30" x14ac:dyDescent="0.3">
      <c r="A16" s="15">
        <v>9</v>
      </c>
      <c r="B16" s="16">
        <v>40575</v>
      </c>
      <c r="C16" s="17" t="s">
        <v>52</v>
      </c>
      <c r="D16" s="18">
        <f t="shared" si="1"/>
        <v>40590</v>
      </c>
      <c r="E16" s="19" t="s">
        <v>49</v>
      </c>
      <c r="F16" s="20" t="s">
        <v>50</v>
      </c>
      <c r="G16" s="21">
        <v>118</v>
      </c>
    </row>
    <row r="17" spans="1:7" ht="30" x14ac:dyDescent="0.3">
      <c r="A17" s="15">
        <v>10</v>
      </c>
      <c r="B17" s="16">
        <v>40575</v>
      </c>
      <c r="C17" s="17" t="s">
        <v>53</v>
      </c>
      <c r="D17" s="18">
        <f t="shared" si="1"/>
        <v>40590</v>
      </c>
      <c r="E17" s="19" t="s">
        <v>49</v>
      </c>
      <c r="F17" s="20" t="s">
        <v>50</v>
      </c>
      <c r="G17" s="21">
        <v>238</v>
      </c>
    </row>
    <row r="18" spans="1:7" ht="30" x14ac:dyDescent="0.3">
      <c r="A18" s="15">
        <v>11</v>
      </c>
      <c r="B18" s="16">
        <v>40579</v>
      </c>
      <c r="C18" s="17" t="s">
        <v>54</v>
      </c>
      <c r="D18" s="18">
        <f t="shared" si="1"/>
        <v>40594</v>
      </c>
      <c r="E18" s="19" t="s">
        <v>55</v>
      </c>
      <c r="F18" s="20" t="s">
        <v>56</v>
      </c>
      <c r="G18" s="21">
        <v>98.02</v>
      </c>
    </row>
    <row r="19" spans="1:7" ht="30" x14ac:dyDescent="0.3">
      <c r="A19" s="15">
        <v>12</v>
      </c>
      <c r="B19" s="16">
        <v>40578</v>
      </c>
      <c r="C19" s="17" t="s">
        <v>57</v>
      </c>
      <c r="D19" s="18">
        <f t="shared" si="1"/>
        <v>40593</v>
      </c>
      <c r="E19" s="19" t="s">
        <v>55</v>
      </c>
      <c r="F19" s="20" t="s">
        <v>56</v>
      </c>
      <c r="G19" s="21">
        <v>98.02</v>
      </c>
    </row>
    <row r="20" spans="1:7" ht="30" x14ac:dyDescent="0.3">
      <c r="A20" s="15">
        <v>13</v>
      </c>
      <c r="B20" s="16">
        <v>40583</v>
      </c>
      <c r="C20" s="17" t="s">
        <v>58</v>
      </c>
      <c r="D20" s="18">
        <f t="shared" si="1"/>
        <v>40598</v>
      </c>
      <c r="E20" s="19" t="s">
        <v>55</v>
      </c>
      <c r="F20" s="20" t="s">
        <v>59</v>
      </c>
      <c r="G20" s="21">
        <v>49.01</v>
      </c>
    </row>
    <row r="21" spans="1:7" ht="30" x14ac:dyDescent="0.3">
      <c r="A21" s="15">
        <v>14</v>
      </c>
      <c r="B21" s="16">
        <v>40582</v>
      </c>
      <c r="C21" s="17" t="s">
        <v>60</v>
      </c>
      <c r="D21" s="18">
        <f t="shared" si="1"/>
        <v>40597</v>
      </c>
      <c r="E21" s="19" t="s">
        <v>55</v>
      </c>
      <c r="F21" s="20" t="s">
        <v>61</v>
      </c>
      <c r="G21" s="21">
        <v>147.03</v>
      </c>
    </row>
    <row r="22" spans="1:7" ht="30" x14ac:dyDescent="0.3">
      <c r="A22" s="15">
        <v>15</v>
      </c>
      <c r="B22" s="16">
        <v>40585</v>
      </c>
      <c r="C22" s="17" t="s">
        <v>62</v>
      </c>
      <c r="D22" s="18">
        <f t="shared" si="1"/>
        <v>40600</v>
      </c>
      <c r="E22" s="19" t="s">
        <v>55</v>
      </c>
      <c r="F22" s="20" t="s">
        <v>63</v>
      </c>
      <c r="G22" s="21">
        <v>98.02</v>
      </c>
    </row>
    <row r="23" spans="1:7" ht="30" x14ac:dyDescent="0.3">
      <c r="A23" s="15">
        <v>16</v>
      </c>
      <c r="B23" s="16">
        <v>40582</v>
      </c>
      <c r="C23" s="17" t="s">
        <v>64</v>
      </c>
      <c r="D23" s="18">
        <f t="shared" si="1"/>
        <v>40597</v>
      </c>
      <c r="E23" s="19" t="s">
        <v>17</v>
      </c>
      <c r="F23" s="20" t="s">
        <v>65</v>
      </c>
      <c r="G23" s="21">
        <v>533.12</v>
      </c>
    </row>
    <row r="24" spans="1:7" ht="30" x14ac:dyDescent="0.3">
      <c r="A24" s="15">
        <v>17</v>
      </c>
      <c r="B24" s="16">
        <v>40576</v>
      </c>
      <c r="C24" s="17" t="s">
        <v>66</v>
      </c>
      <c r="D24" s="18">
        <v>40599</v>
      </c>
      <c r="E24" s="19" t="s">
        <v>67</v>
      </c>
      <c r="F24" s="20" t="s">
        <v>68</v>
      </c>
      <c r="G24" s="21">
        <v>3069.64</v>
      </c>
    </row>
    <row r="25" spans="1:7" ht="30" x14ac:dyDescent="0.3">
      <c r="A25" s="15">
        <v>18</v>
      </c>
      <c r="B25" s="16">
        <v>40585</v>
      </c>
      <c r="C25" s="17" t="s">
        <v>69</v>
      </c>
      <c r="D25" s="18">
        <f>+B25</f>
        <v>40585</v>
      </c>
      <c r="E25" s="19" t="s">
        <v>70</v>
      </c>
      <c r="F25" s="20" t="s">
        <v>71</v>
      </c>
      <c r="G25" s="21">
        <v>2765.75</v>
      </c>
    </row>
    <row r="26" spans="1:7" ht="30" x14ac:dyDescent="0.3">
      <c r="A26" s="15">
        <v>19</v>
      </c>
      <c r="B26" s="16">
        <v>40561</v>
      </c>
      <c r="C26" s="17" t="s">
        <v>72</v>
      </c>
      <c r="D26" s="18">
        <f>+B26+15</f>
        <v>40576</v>
      </c>
      <c r="E26" s="19" t="s">
        <v>73</v>
      </c>
      <c r="F26" s="20" t="s">
        <v>74</v>
      </c>
      <c r="G26" s="21">
        <v>238</v>
      </c>
    </row>
    <row r="27" spans="1:7" ht="30" x14ac:dyDescent="0.3">
      <c r="A27" s="15">
        <v>20</v>
      </c>
      <c r="B27" s="16">
        <v>40577</v>
      </c>
      <c r="C27" s="17" t="s">
        <v>75</v>
      </c>
      <c r="D27" s="18">
        <f>+B27+15</f>
        <v>40592</v>
      </c>
      <c r="E27" s="19" t="s">
        <v>76</v>
      </c>
      <c r="F27" s="20" t="s">
        <v>77</v>
      </c>
      <c r="G27" s="21">
        <v>1143.46</v>
      </c>
    </row>
    <row r="28" spans="1:7" ht="30" x14ac:dyDescent="0.3">
      <c r="A28" s="15">
        <v>21</v>
      </c>
      <c r="B28" s="16">
        <v>40582</v>
      </c>
      <c r="C28" s="17" t="s">
        <v>78</v>
      </c>
      <c r="D28" s="18">
        <f>+B28+15</f>
        <v>40597</v>
      </c>
      <c r="E28" s="19" t="s">
        <v>79</v>
      </c>
      <c r="F28" s="20" t="s">
        <v>80</v>
      </c>
      <c r="G28" s="21">
        <v>928.2</v>
      </c>
    </row>
    <row r="29" spans="1:7" ht="30" x14ac:dyDescent="0.3">
      <c r="A29" s="15">
        <v>22</v>
      </c>
      <c r="B29" s="16">
        <v>40574</v>
      </c>
      <c r="C29" s="17" t="s">
        <v>81</v>
      </c>
      <c r="D29" s="18">
        <f>+B29</f>
        <v>40574</v>
      </c>
      <c r="E29" s="19" t="s">
        <v>82</v>
      </c>
      <c r="F29" s="20" t="s">
        <v>83</v>
      </c>
      <c r="G29" s="21">
        <v>138.46</v>
      </c>
    </row>
    <row r="30" spans="1:7" ht="30" x14ac:dyDescent="0.3">
      <c r="A30" s="15">
        <v>23</v>
      </c>
      <c r="B30" s="16">
        <v>40579</v>
      </c>
      <c r="C30" s="17" t="s">
        <v>84</v>
      </c>
      <c r="D30" s="18">
        <f>+B30+15</f>
        <v>40594</v>
      </c>
      <c r="E30" s="19" t="s">
        <v>85</v>
      </c>
      <c r="F30" s="20" t="s">
        <v>86</v>
      </c>
      <c r="G30" s="21">
        <v>454.79</v>
      </c>
    </row>
    <row r="31" spans="1:7" ht="30" x14ac:dyDescent="0.3">
      <c r="A31" s="15">
        <v>24</v>
      </c>
      <c r="B31" s="16">
        <v>40590</v>
      </c>
      <c r="C31" s="17" t="s">
        <v>87</v>
      </c>
      <c r="D31" s="18">
        <f>+B31+7</f>
        <v>40597</v>
      </c>
      <c r="E31" s="19" t="s">
        <v>88</v>
      </c>
      <c r="F31" s="20" t="s">
        <v>89</v>
      </c>
      <c r="G31" s="21">
        <v>26184</v>
      </c>
    </row>
    <row r="32" spans="1:7" ht="30" x14ac:dyDescent="0.3">
      <c r="A32" s="15">
        <v>25</v>
      </c>
      <c r="B32" s="16">
        <v>40590</v>
      </c>
      <c r="C32" s="17" t="s">
        <v>90</v>
      </c>
      <c r="D32" s="18">
        <f>+B32</f>
        <v>40590</v>
      </c>
      <c r="E32" s="19" t="s">
        <v>91</v>
      </c>
      <c r="F32" s="20" t="s">
        <v>92</v>
      </c>
      <c r="G32" s="21">
        <v>13323</v>
      </c>
    </row>
    <row r="33" spans="1:7" ht="15" x14ac:dyDescent="0.2">
      <c r="A33" s="22"/>
      <c r="B33" s="22"/>
      <c r="C33" s="23"/>
      <c r="D33" s="24"/>
      <c r="E33" s="25"/>
      <c r="F33" s="26" t="s">
        <v>24</v>
      </c>
      <c r="G33" s="36">
        <f>SUM(G8:G32)</f>
        <v>59838.710000000006</v>
      </c>
    </row>
    <row r="34" spans="1:7" ht="15" x14ac:dyDescent="0.3">
      <c r="A34" s="1"/>
      <c r="B34" s="28"/>
      <c r="C34" s="1"/>
      <c r="D34" s="1"/>
      <c r="E34" s="1"/>
      <c r="F34" s="5"/>
      <c r="G34" s="11"/>
    </row>
    <row r="35" spans="1:7" x14ac:dyDescent="0.2">
      <c r="B35" s="35"/>
    </row>
    <row r="38" spans="1:7" x14ac:dyDescent="0.2">
      <c r="B38" s="35"/>
    </row>
    <row r="42" spans="1:7" ht="15" customHeight="1" x14ac:dyDescent="0.3">
      <c r="A42" s="29"/>
      <c r="B42" s="30"/>
      <c r="C42" s="37"/>
      <c r="D42" s="30"/>
      <c r="E42" s="5"/>
      <c r="F42" s="207" t="s">
        <v>0</v>
      </c>
      <c r="G42" s="207"/>
    </row>
    <row r="43" spans="1:7" ht="18.75" x14ac:dyDescent="0.3">
      <c r="A43" s="31" t="s">
        <v>1</v>
      </c>
      <c r="B43" s="29"/>
      <c r="C43" s="37"/>
      <c r="D43" s="30"/>
      <c r="E43" s="5"/>
      <c r="F43" s="29"/>
      <c r="G43" s="29"/>
    </row>
    <row r="44" spans="1:7" ht="15" x14ac:dyDescent="0.3">
      <c r="A44" s="29"/>
      <c r="B44" s="30"/>
      <c r="C44" s="37"/>
      <c r="D44" s="30"/>
      <c r="E44" s="5"/>
      <c r="F44" s="5"/>
      <c r="G44" s="32"/>
    </row>
    <row r="45" spans="1:7" ht="15" x14ac:dyDescent="0.3">
      <c r="A45" s="29"/>
      <c r="B45" s="30"/>
      <c r="C45" s="37"/>
      <c r="D45" s="30"/>
      <c r="E45" s="5"/>
      <c r="F45" s="5"/>
      <c r="G45" s="32"/>
    </row>
    <row r="46" spans="1:7" ht="18" x14ac:dyDescent="0.25">
      <c r="A46" s="208" t="s">
        <v>93</v>
      </c>
      <c r="B46" s="208"/>
      <c r="C46" s="208"/>
      <c r="D46" s="208"/>
      <c r="E46" s="208"/>
      <c r="F46" s="208"/>
      <c r="G46" s="208"/>
    </row>
    <row r="47" spans="1:7" ht="15" x14ac:dyDescent="0.3">
      <c r="A47" s="29"/>
      <c r="B47" s="9"/>
      <c r="C47" s="9"/>
      <c r="D47" s="9"/>
      <c r="E47" s="9"/>
      <c r="F47" s="10"/>
      <c r="G47" s="11"/>
    </row>
    <row r="48" spans="1:7" x14ac:dyDescent="0.2">
      <c r="A48" s="12" t="s">
        <v>2</v>
      </c>
      <c r="B48" s="12" t="s">
        <v>3</v>
      </c>
      <c r="C48" s="13" t="s">
        <v>4</v>
      </c>
      <c r="D48" s="14" t="s">
        <v>25</v>
      </c>
      <c r="E48" s="13" t="s">
        <v>6</v>
      </c>
      <c r="F48" s="13" t="s">
        <v>7</v>
      </c>
      <c r="G48" s="13" t="s">
        <v>32</v>
      </c>
    </row>
    <row r="49" spans="1:8" ht="30" x14ac:dyDescent="0.3">
      <c r="A49" s="15">
        <v>1</v>
      </c>
      <c r="B49" s="38">
        <v>40586</v>
      </c>
      <c r="C49" s="39" t="s">
        <v>94</v>
      </c>
      <c r="D49" s="40"/>
      <c r="E49" s="41" t="s">
        <v>95</v>
      </c>
      <c r="F49" s="42" t="s">
        <v>96</v>
      </c>
      <c r="G49" s="43">
        <f>416.5-(416.5*0.04)</f>
        <v>399.84</v>
      </c>
      <c r="H49" s="44" t="s">
        <v>97</v>
      </c>
    </row>
    <row r="50" spans="1:8" ht="30" x14ac:dyDescent="0.3">
      <c r="A50" s="15">
        <v>2</v>
      </c>
      <c r="B50" s="38">
        <v>40596</v>
      </c>
      <c r="C50" s="39" t="s">
        <v>98</v>
      </c>
      <c r="D50" s="40"/>
      <c r="E50" s="41" t="s">
        <v>95</v>
      </c>
      <c r="F50" s="42" t="s">
        <v>96</v>
      </c>
      <c r="G50" s="43">
        <v>416.5</v>
      </c>
      <c r="H50" s="44" t="s">
        <v>97</v>
      </c>
    </row>
    <row r="51" spans="1:8" ht="30" x14ac:dyDescent="0.3">
      <c r="A51" s="15">
        <v>3</v>
      </c>
      <c r="B51" s="16">
        <v>40591</v>
      </c>
      <c r="C51" s="17" t="s">
        <v>99</v>
      </c>
      <c r="D51" s="18" t="s">
        <v>100</v>
      </c>
      <c r="E51" s="19" t="s">
        <v>101</v>
      </c>
      <c r="F51" s="20" t="s">
        <v>102</v>
      </c>
      <c r="G51" s="21">
        <f>595-(595*0.04)</f>
        <v>571.20000000000005</v>
      </c>
      <c r="H51" s="44" t="s">
        <v>103</v>
      </c>
    </row>
    <row r="52" spans="1:8" ht="30" x14ac:dyDescent="0.3">
      <c r="A52" s="15">
        <v>4</v>
      </c>
      <c r="B52" s="16">
        <v>40596</v>
      </c>
      <c r="C52" s="17" t="s">
        <v>104</v>
      </c>
      <c r="D52" s="18" t="s">
        <v>105</v>
      </c>
      <c r="E52" s="19" t="s">
        <v>106</v>
      </c>
      <c r="F52" s="20" t="s">
        <v>107</v>
      </c>
      <c r="G52" s="21">
        <v>452.2</v>
      </c>
      <c r="H52" t="s">
        <v>27</v>
      </c>
    </row>
    <row r="53" spans="1:8" ht="30" x14ac:dyDescent="0.3">
      <c r="A53" s="15">
        <v>5</v>
      </c>
      <c r="B53" s="16">
        <v>40602</v>
      </c>
      <c r="C53" s="17" t="s">
        <v>108</v>
      </c>
      <c r="D53" s="18" t="s">
        <v>109</v>
      </c>
      <c r="E53" s="19" t="s">
        <v>110</v>
      </c>
      <c r="F53" s="20" t="s">
        <v>111</v>
      </c>
      <c r="G53" s="21">
        <v>477</v>
      </c>
      <c r="H53" t="s">
        <v>27</v>
      </c>
    </row>
    <row r="54" spans="1:8" ht="30" x14ac:dyDescent="0.3">
      <c r="A54" s="15">
        <v>6</v>
      </c>
      <c r="B54" s="16">
        <v>40597</v>
      </c>
      <c r="C54" s="17" t="s">
        <v>112</v>
      </c>
      <c r="D54" s="18" t="s">
        <v>113</v>
      </c>
      <c r="E54" s="19" t="s">
        <v>114</v>
      </c>
      <c r="F54" s="20" t="s">
        <v>115</v>
      </c>
      <c r="G54" s="21">
        <v>85</v>
      </c>
      <c r="H54" t="s">
        <v>27</v>
      </c>
    </row>
    <row r="55" spans="1:8" ht="30" x14ac:dyDescent="0.3">
      <c r="A55" s="15">
        <v>7</v>
      </c>
      <c r="B55" s="16">
        <v>40755</v>
      </c>
      <c r="C55" s="17" t="s">
        <v>116</v>
      </c>
      <c r="D55" s="18" t="s">
        <v>117</v>
      </c>
      <c r="E55" s="19" t="s">
        <v>67</v>
      </c>
      <c r="F55" s="20" t="s">
        <v>118</v>
      </c>
      <c r="G55" s="21">
        <v>2132.16</v>
      </c>
      <c r="H55" t="s">
        <v>27</v>
      </c>
    </row>
    <row r="56" spans="1:8" ht="30" x14ac:dyDescent="0.3">
      <c r="A56" s="15">
        <v>8</v>
      </c>
      <c r="B56" s="16">
        <v>40602</v>
      </c>
      <c r="C56" s="17" t="s">
        <v>119</v>
      </c>
      <c r="D56" s="18" t="s">
        <v>120</v>
      </c>
      <c r="E56" s="19" t="s">
        <v>121</v>
      </c>
      <c r="F56" s="20" t="s">
        <v>122</v>
      </c>
      <c r="G56" s="21">
        <f>2025</f>
        <v>2025</v>
      </c>
      <c r="H56" s="45" t="s">
        <v>27</v>
      </c>
    </row>
    <row r="57" spans="1:8" ht="45" x14ac:dyDescent="0.3">
      <c r="A57" s="15">
        <v>9</v>
      </c>
      <c r="B57" s="16">
        <v>40597</v>
      </c>
      <c r="C57" s="17" t="s">
        <v>29</v>
      </c>
      <c r="D57" s="18" t="s">
        <v>123</v>
      </c>
      <c r="E57" s="19" t="s">
        <v>124</v>
      </c>
      <c r="F57" s="20" t="s">
        <v>125</v>
      </c>
      <c r="G57" s="21">
        <v>2700</v>
      </c>
      <c r="H57" s="45" t="s">
        <v>126</v>
      </c>
    </row>
    <row r="58" spans="1:8" ht="45" x14ac:dyDescent="0.3">
      <c r="A58" s="15">
        <v>10</v>
      </c>
      <c r="B58" s="16">
        <v>40597</v>
      </c>
      <c r="C58" s="17" t="s">
        <v>29</v>
      </c>
      <c r="D58" s="18" t="s">
        <v>127</v>
      </c>
      <c r="E58" s="19" t="s">
        <v>128</v>
      </c>
      <c r="F58" s="20" t="s">
        <v>125</v>
      </c>
      <c r="G58" s="21">
        <v>2300</v>
      </c>
      <c r="H58" s="45" t="s">
        <v>126</v>
      </c>
    </row>
    <row r="59" spans="1:8" ht="30" x14ac:dyDescent="0.3">
      <c r="A59" s="15">
        <v>11</v>
      </c>
      <c r="B59" s="16">
        <v>40605</v>
      </c>
      <c r="C59" s="17" t="s">
        <v>129</v>
      </c>
      <c r="D59" s="18" t="s">
        <v>130</v>
      </c>
      <c r="E59" s="19" t="s">
        <v>131</v>
      </c>
      <c r="F59" s="20" t="s">
        <v>132</v>
      </c>
      <c r="G59" s="21">
        <v>7716</v>
      </c>
      <c r="H59" s="45" t="s">
        <v>27</v>
      </c>
    </row>
    <row r="60" spans="1:8" ht="30" x14ac:dyDescent="0.3">
      <c r="A60" s="15">
        <v>12</v>
      </c>
      <c r="B60" s="16">
        <v>40605</v>
      </c>
      <c r="C60" s="17" t="s">
        <v>133</v>
      </c>
      <c r="D60" s="18" t="s">
        <v>134</v>
      </c>
      <c r="E60" s="19" t="s">
        <v>131</v>
      </c>
      <c r="F60" s="20" t="s">
        <v>111</v>
      </c>
      <c r="G60" s="21">
        <v>1671.5</v>
      </c>
      <c r="H60" s="45" t="s">
        <v>27</v>
      </c>
    </row>
    <row r="61" spans="1:8" ht="30" x14ac:dyDescent="0.3">
      <c r="A61" s="15">
        <v>13</v>
      </c>
      <c r="B61" s="16">
        <v>40605</v>
      </c>
      <c r="C61" s="17" t="s">
        <v>135</v>
      </c>
      <c r="D61" s="18" t="s">
        <v>136</v>
      </c>
      <c r="E61" s="19" t="s">
        <v>137</v>
      </c>
      <c r="F61" s="20" t="s">
        <v>138</v>
      </c>
      <c r="G61" s="21">
        <f>126.14+388.42</f>
        <v>514.56000000000006</v>
      </c>
      <c r="H61" s="45" t="s">
        <v>27</v>
      </c>
    </row>
    <row r="62" spans="1:8" ht="30" x14ac:dyDescent="0.3">
      <c r="A62" s="15">
        <v>14</v>
      </c>
      <c r="B62" s="16">
        <v>40605</v>
      </c>
      <c r="C62" s="17" t="s">
        <v>139</v>
      </c>
      <c r="D62" s="18" t="s">
        <v>140</v>
      </c>
      <c r="E62" s="19" t="s">
        <v>110</v>
      </c>
      <c r="F62" s="20" t="s">
        <v>141</v>
      </c>
      <c r="G62" s="21">
        <v>706</v>
      </c>
      <c r="H62" s="45" t="s">
        <v>27</v>
      </c>
    </row>
    <row r="63" spans="1:8" ht="30" x14ac:dyDescent="0.3">
      <c r="A63" s="15">
        <v>15</v>
      </c>
      <c r="B63" s="16">
        <v>40571</v>
      </c>
      <c r="C63" s="17" t="s">
        <v>142</v>
      </c>
      <c r="D63" s="18"/>
      <c r="E63" s="19" t="s">
        <v>143</v>
      </c>
      <c r="F63" s="20" t="s">
        <v>144</v>
      </c>
      <c r="G63" s="21">
        <v>15</v>
      </c>
    </row>
    <row r="64" spans="1:8" ht="15" x14ac:dyDescent="0.3">
      <c r="A64" s="29"/>
      <c r="B64" s="30"/>
      <c r="C64" s="37"/>
      <c r="D64" s="30"/>
      <c r="E64" s="5"/>
      <c r="F64" s="46" t="s">
        <v>24</v>
      </c>
      <c r="G64" s="36">
        <f>SUM(G49:G63)</f>
        <v>22181.960000000003</v>
      </c>
    </row>
    <row r="65" spans="1:10" x14ac:dyDescent="0.2">
      <c r="B65" s="35"/>
    </row>
    <row r="66" spans="1:10" x14ac:dyDescent="0.2">
      <c r="B66" s="35"/>
    </row>
    <row r="67" spans="1:10" x14ac:dyDescent="0.2">
      <c r="B67" s="35"/>
    </row>
    <row r="68" spans="1:10" x14ac:dyDescent="0.2">
      <c r="B68" s="35"/>
    </row>
    <row r="69" spans="1:10" ht="18.75" x14ac:dyDescent="0.3">
      <c r="A69" s="209" t="s">
        <v>1</v>
      </c>
      <c r="B69" s="209"/>
      <c r="C69" s="209"/>
      <c r="D69" s="209"/>
      <c r="E69" s="209"/>
      <c r="F69" s="47"/>
      <c r="G69" s="47"/>
    </row>
    <row r="70" spans="1:10" ht="15" x14ac:dyDescent="0.3">
      <c r="A70" s="1"/>
      <c r="B70" s="37"/>
      <c r="C70" s="37"/>
      <c r="D70" s="37"/>
      <c r="E70" s="47"/>
      <c r="F70" s="47"/>
      <c r="G70" s="48"/>
    </row>
    <row r="71" spans="1:10" ht="15" x14ac:dyDescent="0.3">
      <c r="A71" s="1"/>
      <c r="B71" s="37"/>
      <c r="C71" s="37"/>
      <c r="D71" s="37"/>
      <c r="E71" s="47"/>
      <c r="F71" s="47"/>
      <c r="G71" s="48"/>
    </row>
    <row r="72" spans="1:10" ht="18" x14ac:dyDescent="0.25">
      <c r="A72" s="210" t="s">
        <v>145</v>
      </c>
      <c r="B72" s="210"/>
      <c r="C72" s="210"/>
      <c r="D72" s="210"/>
      <c r="E72" s="210"/>
      <c r="F72" s="210"/>
      <c r="G72" s="210"/>
    </row>
    <row r="73" spans="1:10" ht="15" x14ac:dyDescent="0.3">
      <c r="A73" s="1"/>
      <c r="B73" s="49"/>
      <c r="C73" s="49"/>
      <c r="D73" s="49"/>
      <c r="E73" s="49"/>
      <c r="F73" s="50"/>
      <c r="G73" s="47"/>
    </row>
    <row r="74" spans="1:10" x14ac:dyDescent="0.2">
      <c r="A74" s="51" t="s">
        <v>2</v>
      </c>
      <c r="B74" s="51" t="s">
        <v>3</v>
      </c>
      <c r="C74" s="51" t="s">
        <v>4</v>
      </c>
      <c r="D74" s="51" t="s">
        <v>5</v>
      </c>
      <c r="E74" s="51" t="s">
        <v>6</v>
      </c>
      <c r="F74" s="51" t="s">
        <v>146</v>
      </c>
      <c r="G74" s="13" t="s">
        <v>32</v>
      </c>
    </row>
    <row r="75" spans="1:10" ht="30" x14ac:dyDescent="0.3">
      <c r="A75" s="52">
        <v>1</v>
      </c>
      <c r="B75" s="53">
        <v>40553</v>
      </c>
      <c r="C75" s="17" t="s">
        <v>147</v>
      </c>
      <c r="D75" s="54">
        <v>40598</v>
      </c>
      <c r="E75" s="19" t="s">
        <v>148</v>
      </c>
      <c r="F75" s="20" t="s">
        <v>149</v>
      </c>
      <c r="G75" s="21">
        <v>5188.6099999999997</v>
      </c>
      <c r="H75" s="1" t="s">
        <v>150</v>
      </c>
      <c r="J75" t="s">
        <v>27</v>
      </c>
    </row>
    <row r="76" spans="1:10" ht="30" x14ac:dyDescent="0.3">
      <c r="A76" s="52">
        <v>2</v>
      </c>
      <c r="B76" s="53">
        <v>40592</v>
      </c>
      <c r="C76" s="17" t="s">
        <v>151</v>
      </c>
      <c r="D76" s="54">
        <v>40604</v>
      </c>
      <c r="E76" s="19" t="s">
        <v>152</v>
      </c>
      <c r="F76" s="20" t="s">
        <v>153</v>
      </c>
      <c r="G76" s="21">
        <f>134.09+251.52+342.22</f>
        <v>727.83</v>
      </c>
      <c r="H76" s="1" t="s">
        <v>154</v>
      </c>
    </row>
    <row r="77" spans="1:10" ht="15" x14ac:dyDescent="0.3">
      <c r="A77" s="1"/>
      <c r="B77" s="37"/>
      <c r="C77" s="37"/>
      <c r="D77" s="37"/>
      <c r="E77" s="47"/>
      <c r="F77" s="51" t="s">
        <v>155</v>
      </c>
      <c r="G77" s="36">
        <f>SUM(G75:G75)</f>
        <v>5188.6099999999997</v>
      </c>
    </row>
    <row r="79" spans="1:10" x14ac:dyDescent="0.2">
      <c r="B79" s="35"/>
    </row>
    <row r="82" spans="1:9" x14ac:dyDescent="0.2">
      <c r="B82" s="35"/>
    </row>
    <row r="83" spans="1:9" x14ac:dyDescent="0.2">
      <c r="B83" s="35"/>
    </row>
    <row r="84" spans="1:9" x14ac:dyDescent="0.2">
      <c r="B84" s="35"/>
    </row>
    <row r="85" spans="1:9" ht="15" customHeight="1" x14ac:dyDescent="0.3">
      <c r="A85" s="29"/>
      <c r="B85" s="30"/>
      <c r="C85" s="37"/>
      <c r="D85" s="30"/>
      <c r="E85" s="5"/>
      <c r="F85" s="207" t="s">
        <v>0</v>
      </c>
      <c r="G85" s="207"/>
    </row>
    <row r="86" spans="1:9" ht="18.75" x14ac:dyDescent="0.3">
      <c r="A86" s="31" t="s">
        <v>1</v>
      </c>
      <c r="B86" s="29"/>
      <c r="C86" s="37"/>
      <c r="D86" s="30"/>
      <c r="E86" s="5"/>
      <c r="F86" s="29"/>
      <c r="G86" s="29"/>
    </row>
    <row r="87" spans="1:9" ht="15" x14ac:dyDescent="0.3">
      <c r="A87" s="29"/>
      <c r="B87" s="30"/>
      <c r="C87" s="37"/>
      <c r="D87" s="30"/>
      <c r="E87" s="5"/>
      <c r="F87" s="5"/>
      <c r="G87" s="32"/>
    </row>
    <row r="88" spans="1:9" ht="15" x14ac:dyDescent="0.3">
      <c r="A88" s="29"/>
      <c r="B88" s="30"/>
      <c r="C88" s="37"/>
      <c r="D88" s="30"/>
      <c r="E88" s="5"/>
      <c r="F88" s="5"/>
      <c r="G88" s="32"/>
    </row>
    <row r="89" spans="1:9" ht="18" x14ac:dyDescent="0.25">
      <c r="A89" s="208" t="s">
        <v>156</v>
      </c>
      <c r="B89" s="208"/>
      <c r="C89" s="208"/>
      <c r="D89" s="208"/>
      <c r="E89" s="208"/>
      <c r="F89" s="208"/>
      <c r="G89" s="208"/>
    </row>
    <row r="90" spans="1:9" ht="18" x14ac:dyDescent="0.25">
      <c r="A90" s="208" t="s">
        <v>157</v>
      </c>
      <c r="B90" s="208"/>
      <c r="C90" s="208"/>
      <c r="D90" s="208"/>
      <c r="E90" s="208"/>
      <c r="F90" s="208"/>
      <c r="G90" s="208"/>
    </row>
    <row r="91" spans="1:9" ht="15" x14ac:dyDescent="0.3">
      <c r="A91" s="29"/>
      <c r="B91" s="9"/>
      <c r="C91" s="9"/>
      <c r="D91" s="9"/>
      <c r="E91" s="9"/>
      <c r="F91" s="10"/>
      <c r="G91" s="11"/>
    </row>
    <row r="92" spans="1:9" x14ac:dyDescent="0.2">
      <c r="A92" s="12" t="s">
        <v>2</v>
      </c>
      <c r="B92" s="12" t="s">
        <v>3</v>
      </c>
      <c r="C92" s="13" t="s">
        <v>4</v>
      </c>
      <c r="D92" s="14" t="s">
        <v>25</v>
      </c>
      <c r="E92" s="13" t="s">
        <v>6</v>
      </c>
      <c r="F92" s="13" t="s">
        <v>7</v>
      </c>
      <c r="G92" s="13" t="s">
        <v>32</v>
      </c>
      <c r="H92" s="13" t="s">
        <v>8</v>
      </c>
    </row>
    <row r="93" spans="1:9" ht="51" customHeight="1" x14ac:dyDescent="0.3">
      <c r="A93" s="15">
        <v>1</v>
      </c>
      <c r="B93" s="16">
        <v>40595</v>
      </c>
      <c r="C93" s="17" t="s">
        <v>158</v>
      </c>
      <c r="D93" s="18" t="s">
        <v>159</v>
      </c>
      <c r="E93" s="19" t="s">
        <v>160</v>
      </c>
      <c r="F93" s="20" t="s">
        <v>161</v>
      </c>
      <c r="G93" s="21">
        <f>18944*2.768+0.01</f>
        <v>52437.002</v>
      </c>
      <c r="H93" s="21">
        <v>0</v>
      </c>
      <c r="I93" t="s">
        <v>162</v>
      </c>
    </row>
    <row r="94" spans="1:9" ht="51" customHeight="1" x14ac:dyDescent="0.3">
      <c r="A94" s="15">
        <v>2</v>
      </c>
      <c r="B94" s="16">
        <v>40595</v>
      </c>
      <c r="C94" s="17" t="s">
        <v>158</v>
      </c>
      <c r="D94" s="18" t="s">
        <v>163</v>
      </c>
      <c r="E94" s="19" t="s">
        <v>160</v>
      </c>
      <c r="F94" s="20" t="s">
        <v>164</v>
      </c>
      <c r="G94" s="21">
        <v>8854</v>
      </c>
      <c r="H94" s="21">
        <v>0</v>
      </c>
      <c r="I94" t="s">
        <v>162</v>
      </c>
    </row>
    <row r="95" spans="1:9" ht="51" customHeight="1" x14ac:dyDescent="0.3">
      <c r="A95" s="15">
        <v>3</v>
      </c>
      <c r="B95" s="16">
        <v>40595</v>
      </c>
      <c r="C95" s="17" t="s">
        <v>158</v>
      </c>
      <c r="D95" s="18" t="s">
        <v>165</v>
      </c>
      <c r="E95" s="19" t="s">
        <v>160</v>
      </c>
      <c r="F95" s="20" t="s">
        <v>166</v>
      </c>
      <c r="G95" s="21">
        <f>5576*2.768-0.37</f>
        <v>15433.997999999998</v>
      </c>
      <c r="H95" s="21">
        <v>0</v>
      </c>
      <c r="I95" t="s">
        <v>162</v>
      </c>
    </row>
    <row r="96" spans="1:9" ht="51" customHeight="1" x14ac:dyDescent="0.3">
      <c r="A96" s="15">
        <v>4</v>
      </c>
      <c r="B96" s="16">
        <v>40595</v>
      </c>
      <c r="C96" s="17" t="s">
        <v>158</v>
      </c>
      <c r="D96" s="18" t="s">
        <v>167</v>
      </c>
      <c r="E96" s="19" t="s">
        <v>160</v>
      </c>
      <c r="F96" s="20" t="s">
        <v>168</v>
      </c>
      <c r="G96" s="21">
        <v>3371</v>
      </c>
      <c r="H96" s="21">
        <v>0</v>
      </c>
      <c r="I96" t="s">
        <v>162</v>
      </c>
    </row>
    <row r="97" spans="1:9" ht="51" customHeight="1" x14ac:dyDescent="0.3">
      <c r="A97" s="15">
        <v>5</v>
      </c>
      <c r="B97" s="16">
        <v>40596</v>
      </c>
      <c r="C97" s="17" t="s">
        <v>158</v>
      </c>
      <c r="D97" s="18" t="s">
        <v>169</v>
      </c>
      <c r="E97" s="19" t="s">
        <v>160</v>
      </c>
      <c r="F97" s="20" t="s">
        <v>170</v>
      </c>
      <c r="G97" s="21">
        <f>2527*2.768+0.26</f>
        <v>6994.9960000000001</v>
      </c>
      <c r="H97" s="21">
        <v>0</v>
      </c>
      <c r="I97" t="s">
        <v>27</v>
      </c>
    </row>
    <row r="98" spans="1:9" ht="51" customHeight="1" x14ac:dyDescent="0.3">
      <c r="A98" s="15">
        <v>6</v>
      </c>
      <c r="B98" s="16">
        <v>40596</v>
      </c>
      <c r="C98" s="17" t="s">
        <v>158</v>
      </c>
      <c r="D98" s="18" t="s">
        <v>171</v>
      </c>
      <c r="E98" s="19" t="s">
        <v>160</v>
      </c>
      <c r="F98" s="20" t="s">
        <v>172</v>
      </c>
      <c r="G98" s="21">
        <v>1519</v>
      </c>
      <c r="H98" s="21">
        <v>0</v>
      </c>
      <c r="I98" t="s">
        <v>27</v>
      </c>
    </row>
    <row r="99" spans="1:9" ht="51" customHeight="1" x14ac:dyDescent="0.3">
      <c r="A99" s="15">
        <v>7</v>
      </c>
      <c r="B99" s="16">
        <v>40595</v>
      </c>
      <c r="C99" s="17" t="s">
        <v>173</v>
      </c>
      <c r="D99" s="18" t="s">
        <v>174</v>
      </c>
      <c r="E99" s="19" t="s">
        <v>175</v>
      </c>
      <c r="F99" s="20" t="s">
        <v>176</v>
      </c>
      <c r="G99" s="21">
        <v>0</v>
      </c>
      <c r="H99" s="21">
        <v>800</v>
      </c>
      <c r="I99" t="s">
        <v>27</v>
      </c>
    </row>
    <row r="100" spans="1:9" ht="51" customHeight="1" x14ac:dyDescent="0.3">
      <c r="A100" s="15"/>
      <c r="B100" s="16">
        <v>40599</v>
      </c>
      <c r="C100" s="17" t="s">
        <v>173</v>
      </c>
      <c r="D100" s="18" t="s">
        <v>177</v>
      </c>
      <c r="E100" s="19" t="s">
        <v>178</v>
      </c>
      <c r="F100" s="20" t="s">
        <v>179</v>
      </c>
      <c r="G100" s="21">
        <v>157.08000000000001</v>
      </c>
      <c r="H100" s="21">
        <v>0</v>
      </c>
    </row>
    <row r="101" spans="1:9" ht="51" customHeight="1" x14ac:dyDescent="0.3">
      <c r="A101" s="15"/>
      <c r="B101" s="16">
        <v>40599</v>
      </c>
      <c r="C101" s="17" t="s">
        <v>173</v>
      </c>
      <c r="D101" s="18" t="s">
        <v>174</v>
      </c>
      <c r="E101" s="19" t="s">
        <v>178</v>
      </c>
      <c r="F101" s="20" t="s">
        <v>180</v>
      </c>
      <c r="G101" s="21">
        <v>0</v>
      </c>
      <c r="H101" s="21">
        <v>303.37</v>
      </c>
    </row>
    <row r="102" spans="1:9" ht="15" x14ac:dyDescent="0.3">
      <c r="A102" s="29"/>
      <c r="B102" s="30"/>
      <c r="C102" s="37"/>
      <c r="D102" s="30"/>
      <c r="E102" s="5"/>
      <c r="F102" s="46" t="s">
        <v>24</v>
      </c>
      <c r="G102" s="36">
        <f>SUM(G93:G101)</f>
        <v>88767.076000000001</v>
      </c>
      <c r="H102" s="27">
        <f>SUM(H93:H101)</f>
        <v>1103.3699999999999</v>
      </c>
    </row>
  </sheetData>
  <sheetProtection selectLockedCells="1" selectUnlockedCells="1"/>
  <mergeCells count="9">
    <mergeCell ref="F85:G85"/>
    <mergeCell ref="A89:G89"/>
    <mergeCell ref="A90:G90"/>
    <mergeCell ref="F1:G1"/>
    <mergeCell ref="A5:G5"/>
    <mergeCell ref="F42:G42"/>
    <mergeCell ref="A46:G46"/>
    <mergeCell ref="A69:E69"/>
    <mergeCell ref="A72:G72"/>
  </mergeCells>
  <printOptions horizontalCentered="1"/>
  <pageMargins left="0" right="0" top="0.39374999999999999" bottom="0.39374999999999999" header="0.51180555555555551" footer="0.51180555555555551"/>
  <pageSetup paperSize="9" scale="80" firstPageNumber="0" orientation="portrait" horizontalDpi="300" verticalDpi="300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>
    <pageSetUpPr fitToPage="1"/>
  </sheetPr>
  <dimension ref="A1:J114"/>
  <sheetViews>
    <sheetView topLeftCell="A4" workbookViewId="0">
      <selection activeCell="E11" sqref="E11"/>
    </sheetView>
  </sheetViews>
  <sheetFormatPr baseColWidth="10" defaultColWidth="10.7109375" defaultRowHeight="12.75" x14ac:dyDescent="0.2"/>
  <cols>
    <col min="1" max="1" width="3.7109375" customWidth="1"/>
    <col min="2" max="2" width="13.140625" customWidth="1"/>
    <col min="3" max="3" width="12.7109375" customWidth="1"/>
    <col min="4" max="4" width="14.42578125" customWidth="1"/>
    <col min="5" max="5" width="33.7109375" customWidth="1"/>
    <col min="6" max="6" width="32.28515625" customWidth="1"/>
    <col min="7" max="7" width="14.42578125" customWidth="1"/>
  </cols>
  <sheetData>
    <row r="1" spans="1:7" ht="15" customHeight="1" x14ac:dyDescent="0.3">
      <c r="A1" s="1"/>
      <c r="B1" s="2"/>
      <c r="C1" s="3"/>
      <c r="D1" s="4"/>
      <c r="E1" s="5"/>
      <c r="F1" s="207" t="s">
        <v>0</v>
      </c>
      <c r="G1" s="207"/>
    </row>
    <row r="2" spans="1:7" ht="18.75" x14ac:dyDescent="0.3">
      <c r="A2" s="7" t="s">
        <v>1</v>
      </c>
      <c r="B2" s="7"/>
      <c r="C2" s="3"/>
      <c r="D2" s="4"/>
      <c r="E2" s="5"/>
      <c r="F2" s="5"/>
      <c r="G2" s="8"/>
    </row>
    <row r="3" spans="1:7" ht="15" x14ac:dyDescent="0.3">
      <c r="A3" s="1"/>
      <c r="B3" s="2"/>
      <c r="C3" s="3"/>
      <c r="D3" s="4"/>
      <c r="E3" s="5"/>
      <c r="F3" s="5"/>
      <c r="G3" s="8"/>
    </row>
    <row r="4" spans="1:7" ht="15" x14ac:dyDescent="0.3">
      <c r="A4" s="1"/>
      <c r="B4" s="2"/>
      <c r="C4" s="3"/>
      <c r="D4" s="4"/>
      <c r="E4" s="5"/>
      <c r="F4" s="5"/>
      <c r="G4" s="8"/>
    </row>
    <row r="5" spans="1:7" ht="18" x14ac:dyDescent="0.25">
      <c r="A5" s="208" t="s">
        <v>766</v>
      </c>
      <c r="B5" s="208"/>
      <c r="C5" s="208"/>
      <c r="D5" s="208"/>
      <c r="E5" s="208"/>
      <c r="F5" s="208"/>
      <c r="G5" s="208"/>
    </row>
    <row r="6" spans="1:7" ht="15" x14ac:dyDescent="0.3">
      <c r="A6" s="1"/>
      <c r="B6" s="9"/>
      <c r="C6" s="9"/>
      <c r="D6" s="9"/>
      <c r="E6" s="9"/>
      <c r="F6" s="10"/>
      <c r="G6" s="11"/>
    </row>
    <row r="7" spans="1:7" x14ac:dyDescent="0.2">
      <c r="A7" s="12" t="s">
        <v>2</v>
      </c>
      <c r="B7" s="12" t="s">
        <v>3</v>
      </c>
      <c r="C7" s="13" t="s">
        <v>4</v>
      </c>
      <c r="D7" s="14" t="s">
        <v>5</v>
      </c>
      <c r="E7" s="13" t="s">
        <v>6</v>
      </c>
      <c r="F7" s="13" t="s">
        <v>7</v>
      </c>
      <c r="G7" s="13" t="s">
        <v>32</v>
      </c>
    </row>
    <row r="8" spans="1:7" ht="27.75" customHeight="1" x14ac:dyDescent="0.3">
      <c r="A8" s="15">
        <v>1</v>
      </c>
      <c r="B8" s="16">
        <v>40593</v>
      </c>
      <c r="C8" s="17" t="s">
        <v>767</v>
      </c>
      <c r="D8" s="18">
        <f>+B8+30</f>
        <v>40623</v>
      </c>
      <c r="E8" s="19" t="s">
        <v>85</v>
      </c>
      <c r="F8" s="20" t="s">
        <v>86</v>
      </c>
      <c r="G8" s="21">
        <v>1172.57</v>
      </c>
    </row>
    <row r="9" spans="1:7" ht="27.75" customHeight="1" x14ac:dyDescent="0.3">
      <c r="A9" s="15">
        <v>2</v>
      </c>
      <c r="B9" s="16">
        <v>40593</v>
      </c>
      <c r="C9" s="17" t="s">
        <v>768</v>
      </c>
      <c r="D9" s="18">
        <f>+B9+30</f>
        <v>40623</v>
      </c>
      <c r="E9" s="19" t="s">
        <v>85</v>
      </c>
      <c r="F9" s="20" t="s">
        <v>769</v>
      </c>
      <c r="G9" s="21">
        <v>178.5</v>
      </c>
    </row>
    <row r="10" spans="1:7" ht="27.75" customHeight="1" x14ac:dyDescent="0.3">
      <c r="A10" s="15">
        <v>3</v>
      </c>
      <c r="B10" s="16">
        <v>40597</v>
      </c>
      <c r="C10" s="17" t="s">
        <v>770</v>
      </c>
      <c r="D10" s="18">
        <f>+B10+30</f>
        <v>40627</v>
      </c>
      <c r="E10" s="19" t="s">
        <v>34</v>
      </c>
      <c r="F10" s="20" t="s">
        <v>35</v>
      </c>
      <c r="G10" s="21">
        <v>1190</v>
      </c>
    </row>
    <row r="11" spans="1:7" ht="27.75" customHeight="1" x14ac:dyDescent="0.3">
      <c r="A11" s="15">
        <v>4</v>
      </c>
      <c r="B11" s="16">
        <v>40567</v>
      </c>
      <c r="C11" s="17" t="s">
        <v>771</v>
      </c>
      <c r="D11" s="18">
        <f>+B11+30</f>
        <v>40597</v>
      </c>
      <c r="E11" s="19" t="s">
        <v>563</v>
      </c>
      <c r="F11" s="20" t="s">
        <v>772</v>
      </c>
      <c r="G11" s="21">
        <v>229.31</v>
      </c>
    </row>
    <row r="12" spans="1:7" ht="27.75" customHeight="1" x14ac:dyDescent="0.3">
      <c r="A12" s="15">
        <v>5</v>
      </c>
      <c r="B12" s="16">
        <v>40560</v>
      </c>
      <c r="C12" s="17" t="s">
        <v>773</v>
      </c>
      <c r="D12" s="18">
        <f>+B12+30</f>
        <v>40590</v>
      </c>
      <c r="E12" s="19" t="s">
        <v>563</v>
      </c>
      <c r="F12" s="20" t="s">
        <v>774</v>
      </c>
      <c r="G12" s="21">
        <v>74.97</v>
      </c>
    </row>
    <row r="13" spans="1:7" ht="27.75" customHeight="1" x14ac:dyDescent="0.3">
      <c r="A13" s="15">
        <v>6</v>
      </c>
      <c r="B13" s="16">
        <v>40578</v>
      </c>
      <c r="C13" s="17" t="s">
        <v>775</v>
      </c>
      <c r="D13" s="18">
        <f>+B13+15</f>
        <v>40593</v>
      </c>
      <c r="E13" s="19" t="s">
        <v>776</v>
      </c>
      <c r="F13" s="20" t="s">
        <v>777</v>
      </c>
      <c r="G13" s="21">
        <v>142.80000000000001</v>
      </c>
    </row>
    <row r="14" spans="1:7" ht="27.75" customHeight="1" x14ac:dyDescent="0.3">
      <c r="A14" s="15">
        <v>7</v>
      </c>
      <c r="B14" s="16">
        <v>40605</v>
      </c>
      <c r="C14" s="17" t="s">
        <v>778</v>
      </c>
      <c r="D14" s="18">
        <f>+B14+15</f>
        <v>40620</v>
      </c>
      <c r="E14" s="19" t="s">
        <v>17</v>
      </c>
      <c r="F14" s="20" t="s">
        <v>779</v>
      </c>
      <c r="G14" s="21">
        <v>731.6</v>
      </c>
    </row>
    <row r="15" spans="1:7" ht="27.75" customHeight="1" x14ac:dyDescent="0.3">
      <c r="A15" s="15">
        <v>8</v>
      </c>
      <c r="B15" s="16">
        <v>40604</v>
      </c>
      <c r="C15" s="17" t="s">
        <v>780</v>
      </c>
      <c r="D15" s="18">
        <f>+B15+15</f>
        <v>40619</v>
      </c>
      <c r="E15" s="19" t="s">
        <v>386</v>
      </c>
      <c r="F15" s="20" t="s">
        <v>781</v>
      </c>
      <c r="G15" s="21">
        <v>698.56</v>
      </c>
    </row>
    <row r="16" spans="1:7" ht="27.75" customHeight="1" x14ac:dyDescent="0.3">
      <c r="A16" s="15">
        <v>9</v>
      </c>
      <c r="B16" s="16">
        <v>40606</v>
      </c>
      <c r="C16" s="17" t="s">
        <v>782</v>
      </c>
      <c r="D16" s="18">
        <f>+B16+15</f>
        <v>40621</v>
      </c>
      <c r="E16" s="19" t="s">
        <v>783</v>
      </c>
      <c r="F16" s="20" t="s">
        <v>784</v>
      </c>
      <c r="G16" s="21">
        <v>98.02</v>
      </c>
    </row>
    <row r="17" spans="1:8" ht="27.75" customHeight="1" x14ac:dyDescent="0.3">
      <c r="A17" s="15">
        <v>10</v>
      </c>
      <c r="B17" s="16">
        <v>40605</v>
      </c>
      <c r="C17" s="17" t="s">
        <v>785</v>
      </c>
      <c r="D17" s="18">
        <f>+B17</f>
        <v>40605</v>
      </c>
      <c r="E17" s="19" t="s">
        <v>88</v>
      </c>
      <c r="F17" s="20" t="s">
        <v>89</v>
      </c>
      <c r="G17" s="21">
        <v>17163.310000000001</v>
      </c>
    </row>
    <row r="18" spans="1:8" ht="27.75" customHeight="1" x14ac:dyDescent="0.3">
      <c r="A18" s="15">
        <v>11</v>
      </c>
      <c r="B18" s="16">
        <v>40577</v>
      </c>
      <c r="C18" s="17" t="s">
        <v>786</v>
      </c>
      <c r="D18" s="18">
        <f>+B18+15</f>
        <v>40592</v>
      </c>
      <c r="E18" s="19" t="s">
        <v>787</v>
      </c>
      <c r="F18" s="20" t="s">
        <v>370</v>
      </c>
      <c r="G18" s="21">
        <v>153</v>
      </c>
    </row>
    <row r="19" spans="1:8" ht="27.75" customHeight="1" x14ac:dyDescent="0.3">
      <c r="A19" s="15">
        <v>12</v>
      </c>
      <c r="B19" s="16">
        <v>40583</v>
      </c>
      <c r="C19" s="17" t="s">
        <v>788</v>
      </c>
      <c r="D19" s="18">
        <f>+B19+15</f>
        <v>40598</v>
      </c>
      <c r="E19" s="19" t="s">
        <v>787</v>
      </c>
      <c r="F19" s="20" t="s">
        <v>370</v>
      </c>
      <c r="G19" s="21">
        <v>153</v>
      </c>
    </row>
    <row r="20" spans="1:8" ht="27.75" customHeight="1" x14ac:dyDescent="0.3">
      <c r="A20" s="15"/>
      <c r="B20" s="16">
        <v>40605</v>
      </c>
      <c r="C20" s="17" t="s">
        <v>789</v>
      </c>
      <c r="D20" s="18">
        <f>+B20+15</f>
        <v>40620</v>
      </c>
      <c r="E20" s="19" t="s">
        <v>787</v>
      </c>
      <c r="F20" s="20" t="s">
        <v>370</v>
      </c>
      <c r="G20" s="21">
        <v>153</v>
      </c>
    </row>
    <row r="21" spans="1:8" ht="27.75" customHeight="1" x14ac:dyDescent="0.3">
      <c r="A21" s="15">
        <v>13</v>
      </c>
      <c r="B21" s="16">
        <v>40602</v>
      </c>
      <c r="C21" s="17" t="s">
        <v>790</v>
      </c>
      <c r="D21" s="18">
        <f>+B21</f>
        <v>40602</v>
      </c>
      <c r="E21" s="19" t="s">
        <v>791</v>
      </c>
      <c r="F21" s="20" t="s">
        <v>792</v>
      </c>
      <c r="G21" s="21">
        <v>138.46</v>
      </c>
    </row>
    <row r="22" spans="1:8" ht="27.75" customHeight="1" x14ac:dyDescent="0.3">
      <c r="A22" s="15">
        <v>14</v>
      </c>
      <c r="B22" s="16">
        <v>40599</v>
      </c>
      <c r="C22" s="17" t="s">
        <v>793</v>
      </c>
      <c r="D22" s="18">
        <f>+B22+15</f>
        <v>40614</v>
      </c>
      <c r="E22" s="19" t="s">
        <v>794</v>
      </c>
      <c r="F22" s="20" t="s">
        <v>795</v>
      </c>
      <c r="G22" s="21">
        <v>159.9</v>
      </c>
    </row>
    <row r="23" spans="1:8" ht="27.75" customHeight="1" x14ac:dyDescent="0.3">
      <c r="A23" s="15">
        <v>15</v>
      </c>
      <c r="B23" s="16">
        <v>40598</v>
      </c>
      <c r="C23" s="17" t="s">
        <v>796</v>
      </c>
      <c r="D23" s="18">
        <f>+B23+15</f>
        <v>40613</v>
      </c>
      <c r="E23" s="19" t="s">
        <v>794</v>
      </c>
      <c r="F23" s="20" t="s">
        <v>797</v>
      </c>
      <c r="G23" s="21">
        <v>562.9</v>
      </c>
    </row>
    <row r="24" spans="1:8" ht="27.75" customHeight="1" x14ac:dyDescent="0.3">
      <c r="A24" s="15">
        <v>16</v>
      </c>
      <c r="B24" s="16">
        <v>40609</v>
      </c>
      <c r="C24" s="17" t="s">
        <v>798</v>
      </c>
      <c r="D24" s="18">
        <f>+B24</f>
        <v>40609</v>
      </c>
      <c r="E24" s="19" t="s">
        <v>799</v>
      </c>
      <c r="F24" s="20" t="s">
        <v>800</v>
      </c>
      <c r="G24" s="21">
        <v>7434</v>
      </c>
    </row>
    <row r="25" spans="1:8" ht="27.75" customHeight="1" x14ac:dyDescent="0.3">
      <c r="A25" s="15">
        <v>17</v>
      </c>
      <c r="B25" s="16">
        <v>40611</v>
      </c>
      <c r="C25" s="17" t="s">
        <v>801</v>
      </c>
      <c r="D25" s="18">
        <f>+B25</f>
        <v>40611</v>
      </c>
      <c r="E25" s="19" t="s">
        <v>802</v>
      </c>
      <c r="F25" s="20" t="s">
        <v>803</v>
      </c>
      <c r="G25" s="21">
        <v>465.04</v>
      </c>
    </row>
    <row r="26" spans="1:8" ht="27.75" customHeight="1" x14ac:dyDescent="0.3">
      <c r="A26" s="15">
        <v>18</v>
      </c>
      <c r="B26" s="16">
        <v>40576</v>
      </c>
      <c r="C26" s="17" t="s">
        <v>804</v>
      </c>
      <c r="D26" s="18">
        <f>+B26+30</f>
        <v>40606</v>
      </c>
      <c r="E26" s="19" t="s">
        <v>805</v>
      </c>
      <c r="F26" s="20" t="s">
        <v>806</v>
      </c>
      <c r="G26" s="21">
        <v>1038.8699999999999</v>
      </c>
    </row>
    <row r="27" spans="1:8" ht="27.75" customHeight="1" x14ac:dyDescent="0.3">
      <c r="A27" s="15"/>
      <c r="B27" s="16">
        <v>40607</v>
      </c>
      <c r="C27" s="17" t="s">
        <v>807</v>
      </c>
      <c r="D27" s="18">
        <f>+B27+15</f>
        <v>40622</v>
      </c>
      <c r="E27" s="19" t="s">
        <v>808</v>
      </c>
      <c r="F27" s="20" t="s">
        <v>809</v>
      </c>
      <c r="G27" s="21">
        <f>260.78+5.22</f>
        <v>266</v>
      </c>
    </row>
    <row r="28" spans="1:8" ht="15" x14ac:dyDescent="0.2">
      <c r="A28" s="22"/>
      <c r="B28" s="22"/>
      <c r="C28" s="23"/>
      <c r="D28" s="24"/>
      <c r="E28" s="25"/>
      <c r="F28" s="26" t="s">
        <v>24</v>
      </c>
      <c r="G28" s="36">
        <f>SUM(G8:G27)</f>
        <v>32203.81</v>
      </c>
    </row>
    <row r="29" spans="1:8" ht="15" x14ac:dyDescent="0.3">
      <c r="A29" s="1"/>
      <c r="B29" s="28"/>
      <c r="C29" s="1"/>
      <c r="D29" s="1"/>
      <c r="E29" s="1"/>
      <c r="F29" s="5"/>
      <c r="G29" s="11"/>
    </row>
    <row r="30" spans="1:8" x14ac:dyDescent="0.2">
      <c r="B30" s="35"/>
    </row>
    <row r="31" spans="1:8" ht="30" x14ac:dyDescent="0.3">
      <c r="A31" s="15">
        <v>18</v>
      </c>
      <c r="B31" s="16">
        <v>40504</v>
      </c>
      <c r="C31" s="17" t="s">
        <v>810</v>
      </c>
      <c r="D31" s="40">
        <f>+B31+30</f>
        <v>40534</v>
      </c>
      <c r="E31" s="19" t="s">
        <v>85</v>
      </c>
      <c r="F31" s="20" t="s">
        <v>811</v>
      </c>
      <c r="G31" s="21">
        <f>1449.75+29</f>
        <v>1478.75</v>
      </c>
      <c r="H31" t="s">
        <v>812</v>
      </c>
    </row>
    <row r="32" spans="1:8" ht="30" x14ac:dyDescent="0.3">
      <c r="A32" s="15">
        <v>19</v>
      </c>
      <c r="B32" s="16">
        <v>40547</v>
      </c>
      <c r="C32" s="17" t="s">
        <v>813</v>
      </c>
      <c r="D32" s="40">
        <f>+B32</f>
        <v>40547</v>
      </c>
      <c r="E32" s="19" t="s">
        <v>85</v>
      </c>
      <c r="F32" s="20" t="s">
        <v>814</v>
      </c>
      <c r="G32" s="21">
        <v>-1232.29</v>
      </c>
      <c r="H32" t="s">
        <v>812</v>
      </c>
    </row>
    <row r="33" spans="1:8" x14ac:dyDescent="0.2">
      <c r="B33" s="35" t="s">
        <v>815</v>
      </c>
    </row>
    <row r="37" spans="1:8" ht="15" customHeight="1" x14ac:dyDescent="0.3">
      <c r="A37" s="29"/>
      <c r="B37" s="30"/>
      <c r="C37" s="37"/>
      <c r="D37" s="30"/>
      <c r="E37" s="5"/>
      <c r="F37" s="207" t="s">
        <v>0</v>
      </c>
      <c r="G37" s="207"/>
    </row>
    <row r="38" spans="1:8" ht="18.75" x14ac:dyDescent="0.3">
      <c r="A38" s="31" t="s">
        <v>1</v>
      </c>
      <c r="B38" s="29"/>
      <c r="C38" s="37"/>
      <c r="D38" s="30"/>
      <c r="E38" s="5"/>
      <c r="F38" s="29"/>
      <c r="G38" s="29"/>
    </row>
    <row r="39" spans="1:8" ht="15" x14ac:dyDescent="0.3">
      <c r="A39" s="29"/>
      <c r="B39" s="30"/>
      <c r="C39" s="37"/>
      <c r="D39" s="30"/>
      <c r="E39" s="5"/>
      <c r="F39" s="5"/>
      <c r="G39" s="32"/>
    </row>
    <row r="40" spans="1:8" ht="15" x14ac:dyDescent="0.3">
      <c r="A40" s="29"/>
      <c r="B40" s="30"/>
      <c r="C40" s="37"/>
      <c r="D40" s="30"/>
      <c r="E40" s="5"/>
      <c r="F40" s="5"/>
      <c r="G40" s="32"/>
    </row>
    <row r="41" spans="1:8" ht="18" x14ac:dyDescent="0.25">
      <c r="A41" s="208" t="s">
        <v>816</v>
      </c>
      <c r="B41" s="208"/>
      <c r="C41" s="208"/>
      <c r="D41" s="208"/>
      <c r="E41" s="208"/>
      <c r="F41" s="208"/>
      <c r="G41" s="208"/>
    </row>
    <row r="42" spans="1:8" ht="15" x14ac:dyDescent="0.3">
      <c r="A42" s="29"/>
      <c r="B42" s="9"/>
      <c r="C42" s="9"/>
      <c r="D42" s="9"/>
      <c r="E42" s="9"/>
      <c r="F42" s="10"/>
      <c r="G42" s="11"/>
    </row>
    <row r="43" spans="1:8" x14ac:dyDescent="0.2">
      <c r="A43" s="12" t="s">
        <v>2</v>
      </c>
      <c r="B43" s="12" t="s">
        <v>3</v>
      </c>
      <c r="C43" s="13" t="s">
        <v>4</v>
      </c>
      <c r="D43" s="14" t="s">
        <v>25</v>
      </c>
      <c r="E43" s="13" t="s">
        <v>6</v>
      </c>
      <c r="F43" s="13" t="s">
        <v>7</v>
      </c>
      <c r="G43" s="13" t="s">
        <v>32</v>
      </c>
    </row>
    <row r="44" spans="1:8" ht="30" x14ac:dyDescent="0.3">
      <c r="A44" s="15">
        <v>1</v>
      </c>
      <c r="B44" s="16">
        <v>40603</v>
      </c>
      <c r="C44" s="17" t="s">
        <v>817</v>
      </c>
      <c r="D44" s="18" t="s">
        <v>818</v>
      </c>
      <c r="E44" s="19" t="s">
        <v>412</v>
      </c>
      <c r="F44" s="20" t="s">
        <v>819</v>
      </c>
      <c r="G44" s="21">
        <v>755.2</v>
      </c>
      <c r="H44" s="44" t="s">
        <v>103</v>
      </c>
    </row>
    <row r="45" spans="1:8" ht="30" x14ac:dyDescent="0.3">
      <c r="A45" s="15">
        <v>2</v>
      </c>
      <c r="B45" s="16">
        <v>40621</v>
      </c>
      <c r="C45" s="17" t="s">
        <v>820</v>
      </c>
      <c r="D45" s="18" t="s">
        <v>821</v>
      </c>
      <c r="E45" s="19" t="s">
        <v>822</v>
      </c>
      <c r="F45" s="20" t="s">
        <v>823</v>
      </c>
      <c r="G45" s="21">
        <v>247.8</v>
      </c>
      <c r="H45" s="44" t="s">
        <v>27</v>
      </c>
    </row>
    <row r="46" spans="1:8" ht="30" x14ac:dyDescent="0.3">
      <c r="A46" s="15">
        <v>3</v>
      </c>
      <c r="B46" s="16">
        <v>40599</v>
      </c>
      <c r="C46" s="17" t="s">
        <v>824</v>
      </c>
      <c r="D46" s="18" t="s">
        <v>825</v>
      </c>
      <c r="E46" s="19" t="s">
        <v>826</v>
      </c>
      <c r="F46" s="20" t="s">
        <v>823</v>
      </c>
      <c r="G46" s="21">
        <v>523.6</v>
      </c>
      <c r="H46" s="44" t="s">
        <v>27</v>
      </c>
    </row>
    <row r="47" spans="1:8" ht="45" x14ac:dyDescent="0.3">
      <c r="A47" s="15">
        <v>4</v>
      </c>
      <c r="B47" s="16">
        <v>40633</v>
      </c>
      <c r="C47" s="17" t="s">
        <v>827</v>
      </c>
      <c r="D47" s="18" t="s">
        <v>828</v>
      </c>
      <c r="E47" s="19" t="s">
        <v>110</v>
      </c>
      <c r="F47" s="20" t="s">
        <v>829</v>
      </c>
      <c r="G47" s="21">
        <f>495.5+339.5</f>
        <v>835</v>
      </c>
      <c r="H47" t="s">
        <v>27</v>
      </c>
    </row>
    <row r="48" spans="1:8" ht="30" x14ac:dyDescent="0.3">
      <c r="A48" s="15">
        <v>5</v>
      </c>
      <c r="B48" s="16">
        <v>40624</v>
      </c>
      <c r="C48" s="17" t="s">
        <v>830</v>
      </c>
      <c r="D48" s="18" t="s">
        <v>831</v>
      </c>
      <c r="E48" s="19" t="s">
        <v>832</v>
      </c>
      <c r="F48" s="20" t="s">
        <v>833</v>
      </c>
      <c r="G48" s="21">
        <v>174.88</v>
      </c>
      <c r="H48" s="44" t="s">
        <v>27</v>
      </c>
    </row>
    <row r="49" spans="1:10" ht="30" x14ac:dyDescent="0.3">
      <c r="A49" s="15">
        <v>6</v>
      </c>
      <c r="B49" s="16">
        <v>40624</v>
      </c>
      <c r="C49" s="17" t="s">
        <v>173</v>
      </c>
      <c r="D49" s="18" t="s">
        <v>834</v>
      </c>
      <c r="E49" s="19" t="s">
        <v>260</v>
      </c>
      <c r="F49" s="20" t="s">
        <v>835</v>
      </c>
      <c r="G49" s="21">
        <v>3479.84</v>
      </c>
      <c r="H49" s="44" t="s">
        <v>27</v>
      </c>
    </row>
    <row r="50" spans="1:10" ht="30" x14ac:dyDescent="0.3">
      <c r="A50" s="15">
        <v>7</v>
      </c>
      <c r="B50" s="16">
        <v>40633</v>
      </c>
      <c r="C50" s="17" t="s">
        <v>836</v>
      </c>
      <c r="D50" s="18" t="s">
        <v>837</v>
      </c>
      <c r="E50" s="19" t="s">
        <v>121</v>
      </c>
      <c r="F50" s="20" t="s">
        <v>838</v>
      </c>
      <c r="G50" s="21">
        <v>2025</v>
      </c>
      <c r="H50" t="s">
        <v>27</v>
      </c>
    </row>
    <row r="51" spans="1:10" ht="30" x14ac:dyDescent="0.3">
      <c r="A51" s="15">
        <v>8</v>
      </c>
      <c r="B51" s="16">
        <v>40624</v>
      </c>
      <c r="C51" s="17" t="s">
        <v>839</v>
      </c>
      <c r="D51" s="18" t="s">
        <v>840</v>
      </c>
      <c r="E51" s="19" t="s">
        <v>241</v>
      </c>
      <c r="F51" s="20" t="s">
        <v>242</v>
      </c>
      <c r="G51" s="21">
        <v>2430</v>
      </c>
      <c r="H51" t="s">
        <v>27</v>
      </c>
    </row>
    <row r="52" spans="1:10" ht="15" x14ac:dyDescent="0.3">
      <c r="A52" s="29"/>
      <c r="B52" s="30"/>
      <c r="C52" s="37"/>
      <c r="D52" s="30"/>
      <c r="E52" s="5"/>
      <c r="F52" s="46" t="s">
        <v>24</v>
      </c>
      <c r="G52" s="36">
        <f>SUM(G44:G51)</f>
        <v>10471.32</v>
      </c>
    </row>
    <row r="53" spans="1:10" ht="15" x14ac:dyDescent="0.3">
      <c r="A53" s="29"/>
      <c r="B53" s="30"/>
      <c r="C53" s="37"/>
      <c r="D53" s="30"/>
      <c r="E53" s="5"/>
      <c r="F53" s="55"/>
      <c r="G53" s="56"/>
    </row>
    <row r="54" spans="1:10" x14ac:dyDescent="0.2">
      <c r="B54" s="35"/>
    </row>
    <row r="55" spans="1:10" s="60" customFormat="1" x14ac:dyDescent="0.2">
      <c r="B55" s="74"/>
      <c r="J55" s="76"/>
    </row>
    <row r="56" spans="1:10" s="60" customFormat="1" ht="18.75" x14ac:dyDescent="0.3">
      <c r="A56" s="214" t="s">
        <v>1</v>
      </c>
      <c r="B56" s="214"/>
      <c r="C56" s="214"/>
      <c r="D56" s="214"/>
      <c r="E56" s="214"/>
      <c r="F56" s="1"/>
      <c r="G56" s="1"/>
      <c r="J56" s="77"/>
    </row>
    <row r="57" spans="1:10" s="60" customFormat="1" ht="15" x14ac:dyDescent="0.3">
      <c r="A57" s="1"/>
      <c r="B57" s="3"/>
      <c r="C57" s="3"/>
      <c r="D57" s="3"/>
      <c r="E57" s="1"/>
      <c r="F57" s="1"/>
      <c r="G57" s="69"/>
      <c r="J57" s="77"/>
    </row>
    <row r="58" spans="1:10" s="60" customFormat="1" ht="15" x14ac:dyDescent="0.3">
      <c r="A58" s="1"/>
      <c r="B58" s="3"/>
      <c r="C58" s="3"/>
      <c r="D58" s="3"/>
      <c r="E58" s="1"/>
      <c r="F58" s="1"/>
      <c r="G58" s="69"/>
      <c r="J58" s="77"/>
    </row>
    <row r="59" spans="1:10" s="60" customFormat="1" ht="18" x14ac:dyDescent="0.25">
      <c r="A59" s="208" t="s">
        <v>763</v>
      </c>
      <c r="B59" s="208"/>
      <c r="C59" s="208"/>
      <c r="D59" s="208"/>
      <c r="E59" s="208"/>
      <c r="F59" s="208"/>
      <c r="G59" s="208"/>
      <c r="J59" s="77"/>
    </row>
    <row r="60" spans="1:10" s="60" customFormat="1" ht="15" x14ac:dyDescent="0.3">
      <c r="A60" s="1"/>
      <c r="B60" s="70"/>
      <c r="C60" s="70"/>
      <c r="D60" s="70"/>
      <c r="E60" s="70"/>
      <c r="F60" s="71"/>
      <c r="G60" s="1"/>
      <c r="J60" s="77"/>
    </row>
    <row r="61" spans="1:10" s="60" customFormat="1" x14ac:dyDescent="0.2">
      <c r="A61" s="72" t="s">
        <v>2</v>
      </c>
      <c r="B61" s="72" t="s">
        <v>3</v>
      </c>
      <c r="C61" s="72" t="s">
        <v>4</v>
      </c>
      <c r="D61" s="72" t="s">
        <v>5</v>
      </c>
      <c r="E61" s="72" t="s">
        <v>6</v>
      </c>
      <c r="F61" s="72" t="s">
        <v>146</v>
      </c>
      <c r="G61" s="13" t="s">
        <v>32</v>
      </c>
      <c r="J61" s="77"/>
    </row>
    <row r="62" spans="1:10" s="60" customFormat="1" ht="15" x14ac:dyDescent="0.3">
      <c r="A62" s="15">
        <v>1</v>
      </c>
      <c r="B62" s="16">
        <v>40589</v>
      </c>
      <c r="C62" s="17" t="s">
        <v>841</v>
      </c>
      <c r="D62" s="73">
        <v>40634</v>
      </c>
      <c r="E62" s="19" t="s">
        <v>148</v>
      </c>
      <c r="F62" s="20" t="s">
        <v>149</v>
      </c>
      <c r="G62" s="21">
        <v>6008.31</v>
      </c>
      <c r="H62" s="1" t="s">
        <v>842</v>
      </c>
      <c r="J62" s="77"/>
    </row>
    <row r="63" spans="1:10" s="60" customFormat="1" ht="15" x14ac:dyDescent="0.3">
      <c r="A63" s="1"/>
      <c r="B63" s="3"/>
      <c r="C63" s="3"/>
      <c r="D63" s="3"/>
      <c r="E63" s="1"/>
      <c r="F63" s="72" t="s">
        <v>155</v>
      </c>
      <c r="G63" s="36">
        <f>SUM(G62:G62)</f>
        <v>6008.31</v>
      </c>
      <c r="J63" s="77"/>
    </row>
    <row r="64" spans="1:10" s="60" customFormat="1" ht="15" x14ac:dyDescent="0.3">
      <c r="A64" s="29"/>
      <c r="B64" s="30"/>
      <c r="C64" s="3"/>
      <c r="D64" s="30"/>
      <c r="E64" s="5"/>
      <c r="F64" s="55"/>
      <c r="G64" s="56"/>
      <c r="J64" s="77"/>
    </row>
    <row r="65" spans="1:9" x14ac:dyDescent="0.2">
      <c r="B65" s="35"/>
    </row>
    <row r="66" spans="1:9" ht="15" customHeight="1" x14ac:dyDescent="0.3">
      <c r="A66" s="29"/>
      <c r="B66" s="30"/>
      <c r="C66" s="37"/>
      <c r="D66" s="30"/>
      <c r="E66" s="5"/>
      <c r="F66" s="207" t="s">
        <v>0</v>
      </c>
      <c r="G66" s="207"/>
    </row>
    <row r="67" spans="1:9" ht="18.75" x14ac:dyDescent="0.3">
      <c r="A67" s="31" t="s">
        <v>1</v>
      </c>
      <c r="B67" s="29"/>
      <c r="C67" s="37"/>
      <c r="D67" s="30"/>
      <c r="E67" s="5"/>
      <c r="F67" s="29"/>
      <c r="G67" s="29"/>
    </row>
    <row r="68" spans="1:9" ht="15" x14ac:dyDescent="0.3">
      <c r="A68" s="29"/>
      <c r="B68" s="30"/>
      <c r="C68" s="37"/>
      <c r="D68" s="30"/>
      <c r="E68" s="5"/>
      <c r="F68" s="5"/>
      <c r="G68" s="32"/>
    </row>
    <row r="69" spans="1:9" ht="15" x14ac:dyDescent="0.3">
      <c r="A69" s="29"/>
      <c r="B69" s="30"/>
      <c r="C69" s="37"/>
      <c r="D69" s="30"/>
      <c r="E69" s="5"/>
      <c r="F69" s="5"/>
      <c r="G69" s="32"/>
    </row>
    <row r="70" spans="1:9" ht="18" x14ac:dyDescent="0.25">
      <c r="A70" s="208" t="s">
        <v>843</v>
      </c>
      <c r="B70" s="208"/>
      <c r="C70" s="208"/>
      <c r="D70" s="208"/>
      <c r="E70" s="208"/>
      <c r="F70" s="208"/>
      <c r="G70" s="208"/>
    </row>
    <row r="71" spans="1:9" ht="18" x14ac:dyDescent="0.25">
      <c r="A71" s="208" t="s">
        <v>157</v>
      </c>
      <c r="B71" s="208"/>
      <c r="C71" s="208"/>
      <c r="D71" s="208"/>
      <c r="E71" s="208"/>
      <c r="F71" s="208"/>
      <c r="G71" s="208"/>
    </row>
    <row r="72" spans="1:9" ht="15" x14ac:dyDescent="0.3">
      <c r="A72" s="29"/>
      <c r="B72" s="9"/>
      <c r="C72" s="9"/>
      <c r="D72" s="9"/>
      <c r="E72" s="9"/>
      <c r="F72" s="10"/>
      <c r="G72" s="11"/>
    </row>
    <row r="73" spans="1:9" x14ac:dyDescent="0.2">
      <c r="A73" s="12" t="s">
        <v>2</v>
      </c>
      <c r="B73" s="12" t="s">
        <v>3</v>
      </c>
      <c r="C73" s="13" t="s">
        <v>4</v>
      </c>
      <c r="D73" s="14" t="s">
        <v>25</v>
      </c>
      <c r="E73" s="13" t="s">
        <v>6</v>
      </c>
      <c r="F73" s="13" t="s">
        <v>7</v>
      </c>
      <c r="G73" s="13" t="s">
        <v>32</v>
      </c>
      <c r="H73" s="13" t="s">
        <v>8</v>
      </c>
    </row>
    <row r="74" spans="1:9" ht="30" x14ac:dyDescent="0.3">
      <c r="A74" s="15">
        <v>1</v>
      </c>
      <c r="B74" s="16">
        <v>40624</v>
      </c>
      <c r="C74" s="17" t="s">
        <v>173</v>
      </c>
      <c r="D74" s="18" t="s">
        <v>844</v>
      </c>
      <c r="E74" s="19" t="s">
        <v>845</v>
      </c>
      <c r="F74" s="20" t="s">
        <v>846</v>
      </c>
      <c r="G74" s="21">
        <v>521.55999999999995</v>
      </c>
      <c r="H74" s="21">
        <v>0</v>
      </c>
      <c r="I74" t="s">
        <v>27</v>
      </c>
    </row>
    <row r="75" spans="1:9" ht="45" x14ac:dyDescent="0.3">
      <c r="A75" s="15">
        <v>2</v>
      </c>
      <c r="B75" s="16">
        <v>40624</v>
      </c>
      <c r="C75" s="17" t="s">
        <v>173</v>
      </c>
      <c r="D75" s="18" t="s">
        <v>847</v>
      </c>
      <c r="E75" s="19" t="s">
        <v>845</v>
      </c>
      <c r="F75" s="20" t="s">
        <v>848</v>
      </c>
      <c r="G75" s="21">
        <v>0</v>
      </c>
      <c r="H75" s="21">
        <v>275</v>
      </c>
      <c r="I75" t="s">
        <v>27</v>
      </c>
    </row>
    <row r="76" spans="1:9" ht="30" x14ac:dyDescent="0.3">
      <c r="A76" s="15">
        <v>3</v>
      </c>
      <c r="B76" s="16">
        <v>40625</v>
      </c>
      <c r="C76" s="17" t="s">
        <v>158</v>
      </c>
      <c r="D76" s="18" t="s">
        <v>849</v>
      </c>
      <c r="E76" s="19" t="s">
        <v>850</v>
      </c>
      <c r="F76" s="20" t="s">
        <v>851</v>
      </c>
      <c r="G76" s="21">
        <v>47608</v>
      </c>
      <c r="H76" s="21">
        <v>0</v>
      </c>
      <c r="I76" t="s">
        <v>27</v>
      </c>
    </row>
    <row r="77" spans="1:9" ht="30" x14ac:dyDescent="0.3">
      <c r="A77" s="15">
        <v>4</v>
      </c>
      <c r="B77" s="16">
        <v>40625</v>
      </c>
      <c r="C77" s="17" t="s">
        <v>158</v>
      </c>
      <c r="D77" s="18" t="s">
        <v>852</v>
      </c>
      <c r="E77" s="19" t="s">
        <v>850</v>
      </c>
      <c r="F77" s="20" t="s">
        <v>853</v>
      </c>
      <c r="G77" s="21">
        <v>10907</v>
      </c>
      <c r="H77" s="21">
        <v>0</v>
      </c>
      <c r="I77" t="s">
        <v>27</v>
      </c>
    </row>
    <row r="78" spans="1:9" ht="12.75" customHeight="1" x14ac:dyDescent="0.3">
      <c r="A78" s="61">
        <v>5</v>
      </c>
      <c r="B78" s="62">
        <v>40627</v>
      </c>
      <c r="C78" s="63" t="s">
        <v>29</v>
      </c>
      <c r="D78" s="64" t="s">
        <v>854</v>
      </c>
      <c r="E78" s="65" t="s">
        <v>850</v>
      </c>
      <c r="F78" s="66" t="s">
        <v>855</v>
      </c>
      <c r="G78" s="67">
        <v>0</v>
      </c>
      <c r="H78" s="67">
        <v>0</v>
      </c>
      <c r="I78" s="215" t="s">
        <v>856</v>
      </c>
    </row>
    <row r="79" spans="1:9" ht="30" x14ac:dyDescent="0.3">
      <c r="A79" s="61">
        <v>6</v>
      </c>
      <c r="B79" s="62">
        <v>40627</v>
      </c>
      <c r="C79" s="63" t="s">
        <v>29</v>
      </c>
      <c r="D79" s="64" t="s">
        <v>857</v>
      </c>
      <c r="E79" s="65" t="s">
        <v>850</v>
      </c>
      <c r="F79" s="66" t="s">
        <v>858</v>
      </c>
      <c r="G79" s="67">
        <v>0</v>
      </c>
      <c r="H79" s="67">
        <v>0</v>
      </c>
      <c r="I79" s="215"/>
    </row>
    <row r="80" spans="1:9" ht="30" x14ac:dyDescent="0.3">
      <c r="A80" s="61">
        <v>7</v>
      </c>
      <c r="B80" s="62">
        <v>40627</v>
      </c>
      <c r="C80" s="63" t="s">
        <v>29</v>
      </c>
      <c r="D80" s="64" t="s">
        <v>859</v>
      </c>
      <c r="E80" s="65" t="s">
        <v>850</v>
      </c>
      <c r="F80" s="66" t="s">
        <v>860</v>
      </c>
      <c r="G80" s="67">
        <v>0</v>
      </c>
      <c r="H80" s="67">
        <v>0</v>
      </c>
      <c r="I80" s="215"/>
    </row>
    <row r="81" spans="1:9" ht="30" x14ac:dyDescent="0.3">
      <c r="A81" s="61">
        <v>8</v>
      </c>
      <c r="B81" s="62">
        <v>40627</v>
      </c>
      <c r="C81" s="63" t="s">
        <v>29</v>
      </c>
      <c r="D81" s="64" t="s">
        <v>861</v>
      </c>
      <c r="E81" s="65" t="s">
        <v>850</v>
      </c>
      <c r="F81" s="66" t="s">
        <v>862</v>
      </c>
      <c r="G81" s="67">
        <v>0</v>
      </c>
      <c r="H81" s="67">
        <v>0</v>
      </c>
      <c r="I81" s="215"/>
    </row>
    <row r="82" spans="1:9" ht="15" x14ac:dyDescent="0.3">
      <c r="A82" s="29"/>
      <c r="B82" s="30"/>
      <c r="C82" s="37"/>
      <c r="D82" s="30"/>
      <c r="E82" s="5"/>
      <c r="F82" s="46" t="s">
        <v>24</v>
      </c>
      <c r="G82" s="36">
        <f>SUM(G74:G80)</f>
        <v>59036.56</v>
      </c>
      <c r="H82" s="27">
        <f>SUM(H74:H77)</f>
        <v>275</v>
      </c>
    </row>
    <row r="84" spans="1:9" x14ac:dyDescent="0.2">
      <c r="B84" s="35"/>
    </row>
    <row r="87" spans="1:9" x14ac:dyDescent="0.2">
      <c r="A87" s="211" t="s">
        <v>609</v>
      </c>
      <c r="B87" s="211"/>
      <c r="C87" s="211"/>
      <c r="D87" s="211"/>
      <c r="E87" s="211"/>
      <c r="F87" s="211"/>
      <c r="G87" s="211"/>
    </row>
    <row r="88" spans="1:9" x14ac:dyDescent="0.2">
      <c r="A88" s="211"/>
      <c r="B88" s="211"/>
      <c r="C88" s="211"/>
      <c r="D88" s="211"/>
      <c r="E88" s="211"/>
      <c r="F88" s="211"/>
      <c r="G88" s="211"/>
    </row>
    <row r="89" spans="1:9" x14ac:dyDescent="0.2">
      <c r="A89" s="211"/>
      <c r="B89" s="211"/>
      <c r="C89" s="211"/>
      <c r="D89" s="211"/>
      <c r="E89" s="211"/>
      <c r="F89" s="211"/>
      <c r="G89" s="211"/>
    </row>
    <row r="90" spans="1:9" ht="15" customHeight="1" x14ac:dyDescent="0.3">
      <c r="A90" s="29"/>
      <c r="B90" s="30"/>
      <c r="C90" s="37"/>
      <c r="D90" s="30"/>
      <c r="E90" s="5"/>
      <c r="F90" s="207" t="s">
        <v>0</v>
      </c>
      <c r="G90" s="207"/>
    </row>
    <row r="91" spans="1:9" ht="18.75" x14ac:dyDescent="0.3">
      <c r="A91" s="31" t="s">
        <v>1</v>
      </c>
      <c r="B91" s="29"/>
      <c r="C91" s="37"/>
      <c r="D91" s="30"/>
      <c r="E91" s="5"/>
      <c r="F91" s="29"/>
      <c r="G91" s="29"/>
    </row>
    <row r="92" spans="1:9" ht="15" x14ac:dyDescent="0.3">
      <c r="A92" s="29"/>
      <c r="B92" s="30"/>
      <c r="C92" s="37"/>
      <c r="D92" s="30"/>
      <c r="E92" s="5"/>
      <c r="F92" s="5"/>
      <c r="G92" s="32"/>
    </row>
    <row r="93" spans="1:9" ht="15" x14ac:dyDescent="0.3">
      <c r="A93" s="29"/>
      <c r="B93" s="30"/>
      <c r="C93" s="37"/>
      <c r="D93" s="30"/>
      <c r="E93" s="5"/>
      <c r="F93" s="5"/>
      <c r="G93" s="32"/>
    </row>
    <row r="94" spans="1:9" ht="18" x14ac:dyDescent="0.25">
      <c r="A94" s="208" t="s">
        <v>843</v>
      </c>
      <c r="B94" s="208"/>
      <c r="C94" s="208"/>
      <c r="D94" s="208"/>
      <c r="E94" s="208"/>
      <c r="F94" s="208"/>
      <c r="G94" s="208"/>
    </row>
    <row r="95" spans="1:9" ht="18" x14ac:dyDescent="0.25">
      <c r="A95" s="208" t="s">
        <v>157</v>
      </c>
      <c r="B95" s="208"/>
      <c r="C95" s="208"/>
      <c r="D95" s="208"/>
      <c r="E95" s="208"/>
      <c r="F95" s="208"/>
      <c r="G95" s="208"/>
    </row>
    <row r="96" spans="1:9" ht="15" x14ac:dyDescent="0.3">
      <c r="A96" s="29"/>
      <c r="B96" s="9"/>
      <c r="C96" s="9"/>
      <c r="D96" s="9"/>
      <c r="E96" s="9"/>
      <c r="F96" s="10"/>
      <c r="G96" s="11"/>
    </row>
    <row r="97" spans="1:10" x14ac:dyDescent="0.2">
      <c r="A97" s="12" t="s">
        <v>2</v>
      </c>
      <c r="B97" s="12" t="s">
        <v>3</v>
      </c>
      <c r="C97" s="13" t="s">
        <v>4</v>
      </c>
      <c r="D97" s="14" t="s">
        <v>25</v>
      </c>
      <c r="E97" s="13" t="s">
        <v>6</v>
      </c>
      <c r="F97" s="13" t="s">
        <v>7</v>
      </c>
      <c r="G97" s="13" t="s">
        <v>32</v>
      </c>
      <c r="H97" s="13" t="s">
        <v>8</v>
      </c>
    </row>
    <row r="98" spans="1:10" ht="30" x14ac:dyDescent="0.3">
      <c r="A98" s="15">
        <v>1</v>
      </c>
      <c r="B98" s="16">
        <v>40624</v>
      </c>
      <c r="C98" s="17" t="s">
        <v>173</v>
      </c>
      <c r="D98" s="18" t="s">
        <v>615</v>
      </c>
      <c r="E98" s="19" t="s">
        <v>616</v>
      </c>
      <c r="F98" s="20" t="s">
        <v>617</v>
      </c>
      <c r="G98" s="21">
        <v>0</v>
      </c>
      <c r="H98" s="21">
        <v>1200</v>
      </c>
      <c r="I98" t="s">
        <v>27</v>
      </c>
    </row>
    <row r="99" spans="1:10" ht="30" x14ac:dyDescent="0.3">
      <c r="A99" s="15">
        <v>2</v>
      </c>
      <c r="B99" s="16">
        <v>40624</v>
      </c>
      <c r="C99" s="17" t="s">
        <v>173</v>
      </c>
      <c r="D99" s="18" t="s">
        <v>618</v>
      </c>
      <c r="E99" s="19" t="s">
        <v>616</v>
      </c>
      <c r="F99" s="20" t="s">
        <v>619</v>
      </c>
      <c r="G99" s="21">
        <v>66.08</v>
      </c>
      <c r="H99" s="21">
        <v>0</v>
      </c>
      <c r="I99" t="s">
        <v>27</v>
      </c>
    </row>
    <row r="100" spans="1:10" ht="30" x14ac:dyDescent="0.3">
      <c r="A100" s="15">
        <v>3</v>
      </c>
      <c r="B100" s="16">
        <v>40623</v>
      </c>
      <c r="C100" s="17" t="s">
        <v>173</v>
      </c>
      <c r="D100" s="18" t="s">
        <v>620</v>
      </c>
      <c r="E100" s="19" t="s">
        <v>621</v>
      </c>
      <c r="F100" s="20" t="s">
        <v>622</v>
      </c>
      <c r="G100" s="21">
        <v>0</v>
      </c>
      <c r="H100" s="21">
        <v>166.71</v>
      </c>
      <c r="I100" t="s">
        <v>27</v>
      </c>
    </row>
    <row r="101" spans="1:10" ht="30" x14ac:dyDescent="0.3">
      <c r="A101" s="15">
        <v>4</v>
      </c>
      <c r="B101" s="16">
        <v>40623</v>
      </c>
      <c r="C101" s="17" t="s">
        <v>173</v>
      </c>
      <c r="D101" s="18" t="s">
        <v>623</v>
      </c>
      <c r="E101" s="19" t="s">
        <v>621</v>
      </c>
      <c r="F101" s="20" t="s">
        <v>624</v>
      </c>
      <c r="G101" s="21">
        <v>155.76</v>
      </c>
      <c r="H101" s="21">
        <v>0</v>
      </c>
      <c r="I101" t="s">
        <v>27</v>
      </c>
    </row>
    <row r="102" spans="1:10" ht="15" x14ac:dyDescent="0.3">
      <c r="A102" s="29"/>
      <c r="B102" s="30"/>
      <c r="C102" s="37"/>
      <c r="D102" s="30"/>
      <c r="E102" s="5"/>
      <c r="F102" s="46" t="s">
        <v>24</v>
      </c>
      <c r="G102" s="36">
        <f>SUM(G98:G101)</f>
        <v>221.83999999999997</v>
      </c>
      <c r="H102" s="27">
        <f>SUM(H98:H101)</f>
        <v>1366.71</v>
      </c>
    </row>
    <row r="106" spans="1:10" s="60" customFormat="1" ht="18.75" customHeight="1" x14ac:dyDescent="0.3">
      <c r="A106" s="214" t="s">
        <v>1</v>
      </c>
      <c r="B106" s="214"/>
      <c r="C106" s="214"/>
      <c r="D106" s="214"/>
      <c r="E106" s="214"/>
      <c r="F106" s="1"/>
      <c r="G106" s="1"/>
      <c r="J106" s="76"/>
    </row>
    <row r="107" spans="1:10" s="60" customFormat="1" ht="15" x14ac:dyDescent="0.3">
      <c r="A107" s="1"/>
      <c r="B107" s="3"/>
      <c r="C107" s="3"/>
      <c r="D107" s="3"/>
      <c r="E107" s="1"/>
      <c r="F107" s="1"/>
      <c r="G107" s="69"/>
      <c r="J107" s="77"/>
    </row>
    <row r="108" spans="1:10" s="60" customFormat="1" ht="15" x14ac:dyDescent="0.3">
      <c r="A108" s="1"/>
      <c r="B108" s="3"/>
      <c r="C108" s="3"/>
      <c r="D108" s="3"/>
      <c r="E108" s="1"/>
      <c r="F108" s="1"/>
      <c r="G108" s="69"/>
      <c r="J108" s="77"/>
    </row>
    <row r="109" spans="1:10" s="60" customFormat="1" ht="18" x14ac:dyDescent="0.25">
      <c r="A109" s="208" t="s">
        <v>763</v>
      </c>
      <c r="B109" s="208"/>
      <c r="C109" s="208"/>
      <c r="D109" s="208"/>
      <c r="E109" s="208"/>
      <c r="F109" s="208"/>
      <c r="G109" s="208"/>
      <c r="J109" s="77"/>
    </row>
    <row r="110" spans="1:10" s="60" customFormat="1" ht="15" x14ac:dyDescent="0.3">
      <c r="A110" s="1"/>
      <c r="B110" s="70"/>
      <c r="C110" s="70"/>
      <c r="D110" s="70"/>
      <c r="E110" s="70"/>
      <c r="F110" s="71"/>
      <c r="G110" s="1"/>
      <c r="J110" s="77"/>
    </row>
    <row r="111" spans="1:10" s="60" customFormat="1" x14ac:dyDescent="0.2">
      <c r="A111" s="72" t="s">
        <v>2</v>
      </c>
      <c r="B111" s="72" t="s">
        <v>3</v>
      </c>
      <c r="C111" s="72" t="s">
        <v>4</v>
      </c>
      <c r="D111" s="72" t="s">
        <v>5</v>
      </c>
      <c r="E111" s="72" t="s">
        <v>6</v>
      </c>
      <c r="F111" s="72" t="s">
        <v>146</v>
      </c>
      <c r="G111" s="13" t="s">
        <v>32</v>
      </c>
      <c r="J111" s="77"/>
    </row>
    <row r="112" spans="1:10" s="60" customFormat="1" ht="15" x14ac:dyDescent="0.3">
      <c r="A112" s="15">
        <v>1</v>
      </c>
      <c r="B112" s="16">
        <v>40592</v>
      </c>
      <c r="C112" s="17" t="s">
        <v>863</v>
      </c>
      <c r="D112" s="73">
        <v>40637</v>
      </c>
      <c r="E112" s="19" t="s">
        <v>148</v>
      </c>
      <c r="F112" s="20" t="s">
        <v>149</v>
      </c>
      <c r="G112" s="21">
        <v>15184.4</v>
      </c>
      <c r="H112" s="1" t="s">
        <v>864</v>
      </c>
      <c r="J112" s="77" t="s">
        <v>27</v>
      </c>
    </row>
    <row r="113" spans="1:10" s="60" customFormat="1" ht="15" x14ac:dyDescent="0.3">
      <c r="A113" s="1"/>
      <c r="B113" s="3"/>
      <c r="C113" s="3"/>
      <c r="D113" s="3"/>
      <c r="E113" s="1"/>
      <c r="F113" s="72" t="s">
        <v>155</v>
      </c>
      <c r="G113" s="36">
        <f>SUM(G112:G112)</f>
        <v>15184.4</v>
      </c>
      <c r="J113" s="77"/>
    </row>
    <row r="114" spans="1:10" s="60" customFormat="1" x14ac:dyDescent="0.2">
      <c r="J114" s="77"/>
    </row>
  </sheetData>
  <sheetProtection selectLockedCells="1" selectUnlockedCells="1"/>
  <mergeCells count="16">
    <mergeCell ref="A94:G94"/>
    <mergeCell ref="A95:G95"/>
    <mergeCell ref="A106:E106"/>
    <mergeCell ref="A109:G109"/>
    <mergeCell ref="F66:G66"/>
    <mergeCell ref="A70:G70"/>
    <mergeCell ref="A71:G71"/>
    <mergeCell ref="I78:I81"/>
    <mergeCell ref="A87:G89"/>
    <mergeCell ref="F90:G90"/>
    <mergeCell ref="F1:G1"/>
    <mergeCell ref="A5:G5"/>
    <mergeCell ref="F37:G37"/>
    <mergeCell ref="A41:G41"/>
    <mergeCell ref="A56:E56"/>
    <mergeCell ref="A59:G59"/>
  </mergeCells>
  <pageMargins left="0.70833333333333337" right="0.70833333333333337" top="0.74791666666666667" bottom="0.74791666666666667" header="0.51180555555555551" footer="0.51180555555555551"/>
  <pageSetup paperSize="9" scale="33" firstPageNumber="0" orientation="portrait" horizontalDpi="300" verticalDpi="300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pageSetUpPr fitToPage="1"/>
  </sheetPr>
  <dimension ref="A1:J132"/>
  <sheetViews>
    <sheetView workbookViewId="0">
      <selection activeCell="A88" sqref="A88"/>
    </sheetView>
  </sheetViews>
  <sheetFormatPr baseColWidth="10" defaultColWidth="10.7109375" defaultRowHeight="12.75" x14ac:dyDescent="0.2"/>
  <cols>
    <col min="1" max="1" width="6.85546875" customWidth="1"/>
    <col min="2" max="2" width="12.28515625" customWidth="1"/>
    <col min="3" max="3" width="16.42578125" customWidth="1"/>
    <col min="4" max="4" width="14.140625" customWidth="1"/>
    <col min="5" max="5" width="30.140625" customWidth="1"/>
    <col min="6" max="6" width="41.140625" customWidth="1"/>
    <col min="7" max="7" width="14.42578125" customWidth="1"/>
    <col min="8" max="8" width="11.5703125" customWidth="1"/>
  </cols>
  <sheetData>
    <row r="1" spans="1:8" ht="15" customHeight="1" x14ac:dyDescent="0.3">
      <c r="A1" s="1"/>
      <c r="B1" s="2"/>
      <c r="C1" s="3"/>
      <c r="D1" s="4"/>
      <c r="E1" s="5"/>
      <c r="F1" s="207" t="s">
        <v>0</v>
      </c>
      <c r="G1" s="207"/>
    </row>
    <row r="2" spans="1:8" ht="18.75" x14ac:dyDescent="0.3">
      <c r="A2" s="7" t="s">
        <v>1</v>
      </c>
      <c r="B2" s="7"/>
      <c r="C2" s="3"/>
      <c r="D2" s="4"/>
      <c r="E2" s="5"/>
      <c r="F2" s="5"/>
      <c r="G2" s="8"/>
    </row>
    <row r="3" spans="1:8" ht="15" x14ac:dyDescent="0.3">
      <c r="A3" s="1"/>
      <c r="B3" s="2"/>
      <c r="C3" s="3"/>
      <c r="D3" s="4"/>
      <c r="E3" s="5"/>
      <c r="F3" s="5"/>
      <c r="G3" s="8"/>
    </row>
    <row r="4" spans="1:8" ht="15" x14ac:dyDescent="0.3">
      <c r="A4" s="1"/>
      <c r="B4" s="2"/>
      <c r="C4" s="3"/>
      <c r="D4" s="4"/>
      <c r="E4" s="5"/>
      <c r="F4" s="5"/>
      <c r="G4" s="8"/>
    </row>
    <row r="5" spans="1:8" ht="18" x14ac:dyDescent="0.25">
      <c r="A5" s="208" t="s">
        <v>865</v>
      </c>
      <c r="B5" s="208"/>
      <c r="C5" s="208"/>
      <c r="D5" s="208"/>
      <c r="E5" s="208"/>
      <c r="F5" s="208"/>
      <c r="G5" s="208"/>
    </row>
    <row r="6" spans="1:8" ht="15" x14ac:dyDescent="0.3">
      <c r="A6" s="1"/>
      <c r="B6" s="9"/>
      <c r="C6" s="9"/>
      <c r="D6" s="9"/>
      <c r="E6" s="9"/>
      <c r="F6" s="10"/>
      <c r="G6" s="11"/>
    </row>
    <row r="7" spans="1:8" x14ac:dyDescent="0.2">
      <c r="A7" s="12" t="s">
        <v>2</v>
      </c>
      <c r="B7" s="12" t="s">
        <v>3</v>
      </c>
      <c r="C7" s="13" t="s">
        <v>4</v>
      </c>
      <c r="D7" s="14" t="s">
        <v>5</v>
      </c>
      <c r="E7" s="13" t="s">
        <v>6</v>
      </c>
      <c r="F7" s="13" t="s">
        <v>7</v>
      </c>
      <c r="G7" s="13" t="s">
        <v>32</v>
      </c>
    </row>
    <row r="8" spans="1:8" ht="30" x14ac:dyDescent="0.3">
      <c r="A8" s="15">
        <v>1</v>
      </c>
      <c r="B8" s="16">
        <v>40603</v>
      </c>
      <c r="C8" s="17" t="s">
        <v>866</v>
      </c>
      <c r="D8" s="18">
        <f>+B8+30</f>
        <v>40633</v>
      </c>
      <c r="E8" s="19" t="s">
        <v>40</v>
      </c>
      <c r="F8" s="19" t="s">
        <v>867</v>
      </c>
      <c r="G8" s="21">
        <v>159.68</v>
      </c>
      <c r="H8" t="s">
        <v>868</v>
      </c>
    </row>
    <row r="9" spans="1:8" ht="15" x14ac:dyDescent="0.3">
      <c r="A9" s="15">
        <v>2</v>
      </c>
      <c r="B9" s="16">
        <v>40603</v>
      </c>
      <c r="C9" s="17" t="s">
        <v>869</v>
      </c>
      <c r="D9" s="18">
        <f>+B9+15</f>
        <v>40618</v>
      </c>
      <c r="E9" s="19" t="s">
        <v>377</v>
      </c>
      <c r="F9" s="19" t="s">
        <v>870</v>
      </c>
      <c r="G9" s="21">
        <v>1680</v>
      </c>
      <c r="H9" t="s">
        <v>868</v>
      </c>
    </row>
    <row r="10" spans="1:8" ht="15" x14ac:dyDescent="0.3">
      <c r="A10" s="15">
        <v>3</v>
      </c>
      <c r="B10" s="16">
        <v>40609</v>
      </c>
      <c r="C10" s="17" t="s">
        <v>871</v>
      </c>
      <c r="D10" s="18">
        <f>+B10+15</f>
        <v>40624</v>
      </c>
      <c r="E10" s="19" t="s">
        <v>377</v>
      </c>
      <c r="F10" s="19" t="s">
        <v>378</v>
      </c>
      <c r="G10" s="21">
        <v>1584</v>
      </c>
      <c r="H10" t="s">
        <v>868</v>
      </c>
    </row>
    <row r="11" spans="1:8" ht="15" x14ac:dyDescent="0.3">
      <c r="A11" s="15">
        <v>4</v>
      </c>
      <c r="B11" s="16">
        <v>40618</v>
      </c>
      <c r="C11" s="17" t="s">
        <v>872</v>
      </c>
      <c r="D11" s="18">
        <f>+B11+15</f>
        <v>40633</v>
      </c>
      <c r="E11" s="19" t="s">
        <v>377</v>
      </c>
      <c r="F11" s="19" t="s">
        <v>378</v>
      </c>
      <c r="G11" s="21">
        <v>1344</v>
      </c>
      <c r="H11" t="s">
        <v>868</v>
      </c>
    </row>
    <row r="12" spans="1:8" ht="15" x14ac:dyDescent="0.3">
      <c r="A12" s="15">
        <v>5</v>
      </c>
      <c r="B12" s="16">
        <v>40619</v>
      </c>
      <c r="C12" s="17" t="s">
        <v>873</v>
      </c>
      <c r="D12" s="18">
        <f>+B12+15</f>
        <v>40634</v>
      </c>
      <c r="E12" s="19" t="s">
        <v>377</v>
      </c>
      <c r="F12" s="19" t="s">
        <v>378</v>
      </c>
      <c r="G12" s="21">
        <v>1920</v>
      </c>
      <c r="H12" t="s">
        <v>868</v>
      </c>
    </row>
    <row r="13" spans="1:8" ht="30" x14ac:dyDescent="0.3">
      <c r="A13" s="15">
        <v>6</v>
      </c>
      <c r="B13" s="16">
        <v>40610</v>
      </c>
      <c r="C13" s="17" t="s">
        <v>874</v>
      </c>
      <c r="D13" s="18">
        <f>+B13</f>
        <v>40610</v>
      </c>
      <c r="E13" s="19" t="s">
        <v>875</v>
      </c>
      <c r="F13" s="19" t="s">
        <v>554</v>
      </c>
      <c r="G13" s="21">
        <v>9251.2000000000007</v>
      </c>
      <c r="H13" t="s">
        <v>868</v>
      </c>
    </row>
    <row r="14" spans="1:8" ht="15" x14ac:dyDescent="0.3">
      <c r="A14" s="15">
        <v>7</v>
      </c>
      <c r="B14" s="16">
        <v>40616</v>
      </c>
      <c r="C14" s="17" t="s">
        <v>876</v>
      </c>
      <c r="D14" s="18">
        <f>+B14</f>
        <v>40616</v>
      </c>
      <c r="E14" s="19" t="s">
        <v>875</v>
      </c>
      <c r="F14" s="19" t="s">
        <v>224</v>
      </c>
      <c r="G14" s="21">
        <v>5876.4</v>
      </c>
      <c r="H14" t="s">
        <v>868</v>
      </c>
    </row>
    <row r="15" spans="1:8" ht="15" x14ac:dyDescent="0.3">
      <c r="A15" s="15">
        <v>8</v>
      </c>
      <c r="B15" s="16">
        <v>40583</v>
      </c>
      <c r="C15" s="17" t="s">
        <v>877</v>
      </c>
      <c r="D15" s="18">
        <f>+B15+15</f>
        <v>40598</v>
      </c>
      <c r="E15" s="19" t="s">
        <v>787</v>
      </c>
      <c r="F15" s="19" t="s">
        <v>878</v>
      </c>
      <c r="G15" s="21">
        <v>51</v>
      </c>
      <c r="H15" t="s">
        <v>868</v>
      </c>
    </row>
    <row r="16" spans="1:8" ht="30" x14ac:dyDescent="0.3">
      <c r="A16" s="15">
        <v>9</v>
      </c>
      <c r="B16" s="16">
        <v>40612</v>
      </c>
      <c r="C16" s="17" t="s">
        <v>879</v>
      </c>
      <c r="D16" s="18">
        <f>+B16+15</f>
        <v>40627</v>
      </c>
      <c r="E16" s="19" t="s">
        <v>776</v>
      </c>
      <c r="F16" s="19" t="s">
        <v>559</v>
      </c>
      <c r="G16" s="21">
        <v>283.2</v>
      </c>
      <c r="H16" t="s">
        <v>868</v>
      </c>
    </row>
    <row r="17" spans="1:8" ht="30" x14ac:dyDescent="0.3">
      <c r="A17" s="15">
        <v>10</v>
      </c>
      <c r="B17" s="16">
        <v>40602</v>
      </c>
      <c r="C17" s="17" t="s">
        <v>880</v>
      </c>
      <c r="D17" s="18">
        <f>+B17+15</f>
        <v>40617</v>
      </c>
      <c r="E17" s="19" t="s">
        <v>776</v>
      </c>
      <c r="F17" s="19" t="s">
        <v>559</v>
      </c>
      <c r="G17" s="21">
        <v>142.80000000000001</v>
      </c>
      <c r="H17" t="s">
        <v>868</v>
      </c>
    </row>
    <row r="18" spans="1:8" ht="30" x14ac:dyDescent="0.3">
      <c r="A18" s="15">
        <v>11</v>
      </c>
      <c r="B18" s="16">
        <v>40613</v>
      </c>
      <c r="C18" s="17" t="s">
        <v>881</v>
      </c>
      <c r="D18" s="18">
        <f>+B18+7</f>
        <v>40620</v>
      </c>
      <c r="E18" s="19" t="s">
        <v>882</v>
      </c>
      <c r="F18" s="19" t="s">
        <v>883</v>
      </c>
      <c r="G18" s="21">
        <v>35.4</v>
      </c>
      <c r="H18" t="s">
        <v>868</v>
      </c>
    </row>
    <row r="19" spans="1:8" ht="15" x14ac:dyDescent="0.3">
      <c r="A19" s="15">
        <v>12</v>
      </c>
      <c r="B19" s="16">
        <v>40603</v>
      </c>
      <c r="C19" s="17" t="s">
        <v>884</v>
      </c>
      <c r="D19" s="18">
        <f t="shared" ref="D19:D24" si="0">+B19+15</f>
        <v>40618</v>
      </c>
      <c r="E19" s="19" t="s">
        <v>783</v>
      </c>
      <c r="F19" s="19" t="s">
        <v>885</v>
      </c>
      <c r="G19" s="21">
        <v>147.03</v>
      </c>
      <c r="H19" t="s">
        <v>868</v>
      </c>
    </row>
    <row r="20" spans="1:8" ht="15" x14ac:dyDescent="0.3">
      <c r="A20" s="15">
        <v>13</v>
      </c>
      <c r="B20" s="16">
        <v>40617</v>
      </c>
      <c r="C20" s="17" t="s">
        <v>886</v>
      </c>
      <c r="D20" s="18">
        <f t="shared" si="0"/>
        <v>40632</v>
      </c>
      <c r="E20" s="19" t="s">
        <v>783</v>
      </c>
      <c r="F20" s="19" t="s">
        <v>887</v>
      </c>
      <c r="G20" s="21">
        <v>98.02</v>
      </c>
      <c r="H20" t="s">
        <v>868</v>
      </c>
    </row>
    <row r="21" spans="1:8" ht="15" x14ac:dyDescent="0.3">
      <c r="A21" s="15">
        <v>14</v>
      </c>
      <c r="B21" s="16">
        <v>40613</v>
      </c>
      <c r="C21" s="17" t="s">
        <v>888</v>
      </c>
      <c r="D21" s="18">
        <f t="shared" si="0"/>
        <v>40628</v>
      </c>
      <c r="E21" s="19" t="s">
        <v>783</v>
      </c>
      <c r="F21" s="19" t="s">
        <v>885</v>
      </c>
      <c r="G21" s="21">
        <v>147.03</v>
      </c>
      <c r="H21" t="s">
        <v>868</v>
      </c>
    </row>
    <row r="22" spans="1:8" ht="15" x14ac:dyDescent="0.3">
      <c r="A22" s="15">
        <v>15</v>
      </c>
      <c r="B22" s="16">
        <v>40610</v>
      </c>
      <c r="C22" s="17" t="s">
        <v>889</v>
      </c>
      <c r="D22" s="18">
        <f t="shared" si="0"/>
        <v>40625</v>
      </c>
      <c r="E22" s="19" t="s">
        <v>783</v>
      </c>
      <c r="F22" s="19" t="s">
        <v>887</v>
      </c>
      <c r="G22" s="21">
        <v>98.02</v>
      </c>
      <c r="H22" t="s">
        <v>868</v>
      </c>
    </row>
    <row r="23" spans="1:8" ht="15" x14ac:dyDescent="0.3">
      <c r="A23" s="15">
        <v>16</v>
      </c>
      <c r="B23" s="16">
        <v>40611</v>
      </c>
      <c r="C23" s="17" t="s">
        <v>890</v>
      </c>
      <c r="D23" s="18">
        <f t="shared" si="0"/>
        <v>40626</v>
      </c>
      <c r="E23" s="19" t="s">
        <v>808</v>
      </c>
      <c r="F23" s="19" t="s">
        <v>891</v>
      </c>
      <c r="G23" s="21">
        <f>130.39+2.61</f>
        <v>133</v>
      </c>
      <c r="H23" t="s">
        <v>868</v>
      </c>
    </row>
    <row r="24" spans="1:8" ht="15" x14ac:dyDescent="0.3">
      <c r="A24" s="15">
        <v>17</v>
      </c>
      <c r="B24" s="16">
        <v>36965</v>
      </c>
      <c r="C24" s="17" t="s">
        <v>892</v>
      </c>
      <c r="D24" s="18">
        <f t="shared" si="0"/>
        <v>36980</v>
      </c>
      <c r="E24" s="19" t="s">
        <v>808</v>
      </c>
      <c r="F24" s="19" t="s">
        <v>891</v>
      </c>
      <c r="G24" s="21">
        <f>260.78+5.22</f>
        <v>266</v>
      </c>
      <c r="H24" t="s">
        <v>868</v>
      </c>
    </row>
    <row r="25" spans="1:8" ht="30" x14ac:dyDescent="0.3">
      <c r="A25" s="15">
        <v>18</v>
      </c>
      <c r="B25" s="16">
        <v>40617</v>
      </c>
      <c r="C25" s="17" t="s">
        <v>893</v>
      </c>
      <c r="D25" s="18">
        <f>+B25</f>
        <v>40617</v>
      </c>
      <c r="E25" s="19" t="s">
        <v>894</v>
      </c>
      <c r="F25" s="19" t="s">
        <v>895</v>
      </c>
      <c r="G25" s="21">
        <v>298.5</v>
      </c>
      <c r="H25" t="s">
        <v>868</v>
      </c>
    </row>
    <row r="26" spans="1:8" ht="30" x14ac:dyDescent="0.3">
      <c r="A26" s="15">
        <v>19</v>
      </c>
      <c r="B26" s="16">
        <v>40612</v>
      </c>
      <c r="C26" s="17" t="s">
        <v>896</v>
      </c>
      <c r="D26" s="18">
        <f>+B26</f>
        <v>40612</v>
      </c>
      <c r="E26" s="19" t="s">
        <v>894</v>
      </c>
      <c r="F26" s="19" t="s">
        <v>895</v>
      </c>
      <c r="G26" s="21">
        <v>375</v>
      </c>
      <c r="H26" t="s">
        <v>868</v>
      </c>
    </row>
    <row r="27" spans="1:8" ht="15" x14ac:dyDescent="0.3">
      <c r="A27" s="15">
        <v>20</v>
      </c>
      <c r="B27" s="16">
        <v>40605</v>
      </c>
      <c r="C27" s="17" t="s">
        <v>897</v>
      </c>
      <c r="D27" s="18">
        <f>+B27</f>
        <v>40605</v>
      </c>
      <c r="E27" s="19" t="s">
        <v>67</v>
      </c>
      <c r="F27" s="19" t="s">
        <v>898</v>
      </c>
      <c r="G27" s="21">
        <v>3921.08</v>
      </c>
      <c r="H27" t="s">
        <v>868</v>
      </c>
    </row>
    <row r="28" spans="1:8" ht="15" x14ac:dyDescent="0.3">
      <c r="A28" s="15">
        <v>21</v>
      </c>
      <c r="B28" s="16">
        <v>40606</v>
      </c>
      <c r="C28" s="17" t="s">
        <v>899</v>
      </c>
      <c r="D28" s="18">
        <f>+B28</f>
        <v>40606</v>
      </c>
      <c r="E28" s="19" t="s">
        <v>79</v>
      </c>
      <c r="F28" s="19" t="s">
        <v>900</v>
      </c>
      <c r="G28" s="21">
        <v>89.68</v>
      </c>
      <c r="H28" t="s">
        <v>868</v>
      </c>
    </row>
    <row r="29" spans="1:8" ht="30" x14ac:dyDescent="0.3">
      <c r="A29" s="15">
        <v>22</v>
      </c>
      <c r="B29" s="16">
        <v>40589</v>
      </c>
      <c r="C29" s="17" t="s">
        <v>901</v>
      </c>
      <c r="D29" s="18">
        <f>+B29+30</f>
        <v>40619</v>
      </c>
      <c r="E29" s="19" t="s">
        <v>902</v>
      </c>
      <c r="F29" s="19" t="s">
        <v>903</v>
      </c>
      <c r="G29" s="21">
        <v>1286.3900000000001</v>
      </c>
      <c r="H29" t="s">
        <v>868</v>
      </c>
    </row>
    <row r="30" spans="1:8" ht="30" x14ac:dyDescent="0.3">
      <c r="A30" s="15">
        <v>23</v>
      </c>
      <c r="B30" s="16">
        <v>40613</v>
      </c>
      <c r="C30" s="17" t="s">
        <v>904</v>
      </c>
      <c r="D30" s="18">
        <f>+B30+15</f>
        <v>40628</v>
      </c>
      <c r="E30" s="19" t="s">
        <v>905</v>
      </c>
      <c r="F30" s="19" t="s">
        <v>906</v>
      </c>
      <c r="G30" s="21">
        <v>720.98</v>
      </c>
      <c r="H30" t="s">
        <v>868</v>
      </c>
    </row>
    <row r="31" spans="1:8" ht="15" x14ac:dyDescent="0.3">
      <c r="A31" s="15">
        <v>24</v>
      </c>
      <c r="B31" s="16">
        <v>40618</v>
      </c>
      <c r="C31" s="17" t="s">
        <v>907</v>
      </c>
      <c r="D31" s="18">
        <f>+B31+15</f>
        <v>40633</v>
      </c>
      <c r="E31" s="19" t="s">
        <v>908</v>
      </c>
      <c r="F31" s="19" t="s">
        <v>909</v>
      </c>
      <c r="G31" s="21">
        <v>2022.85</v>
      </c>
      <c r="H31" t="s">
        <v>868</v>
      </c>
    </row>
    <row r="32" spans="1:8" ht="15" x14ac:dyDescent="0.2">
      <c r="A32" s="22"/>
      <c r="B32" s="22"/>
      <c r="C32" s="23"/>
      <c r="D32" s="24"/>
      <c r="E32" s="25"/>
      <c r="F32" s="26" t="s">
        <v>24</v>
      </c>
      <c r="G32" s="36">
        <f>SUM(G8:G31)</f>
        <v>31931.26</v>
      </c>
    </row>
    <row r="33" spans="1:10" x14ac:dyDescent="0.2">
      <c r="B33" s="35"/>
    </row>
    <row r="34" spans="1:10" x14ac:dyDescent="0.2">
      <c r="B34" s="35"/>
    </row>
    <row r="36" spans="1:10" ht="15" customHeight="1" x14ac:dyDescent="0.3">
      <c r="A36" s="29"/>
      <c r="B36" s="30"/>
      <c r="C36" s="37"/>
      <c r="D36" s="30"/>
      <c r="E36" s="5"/>
      <c r="F36" s="207" t="s">
        <v>0</v>
      </c>
      <c r="G36" s="207"/>
    </row>
    <row r="37" spans="1:10" ht="18.75" x14ac:dyDescent="0.3">
      <c r="A37" s="31" t="s">
        <v>1</v>
      </c>
      <c r="B37" s="29"/>
      <c r="C37" s="37"/>
      <c r="D37" s="30"/>
      <c r="E37" s="5"/>
      <c r="F37" s="29"/>
      <c r="G37" s="29"/>
    </row>
    <row r="38" spans="1:10" ht="15" x14ac:dyDescent="0.3">
      <c r="A38" s="29"/>
      <c r="B38" s="30"/>
      <c r="C38" s="37"/>
      <c r="D38" s="30"/>
      <c r="E38" s="5"/>
      <c r="F38" s="5"/>
      <c r="G38" s="32"/>
    </row>
    <row r="39" spans="1:10" ht="15" x14ac:dyDescent="0.3">
      <c r="A39" s="29"/>
      <c r="B39" s="30"/>
      <c r="C39" s="37"/>
      <c r="D39" s="30"/>
      <c r="E39" s="5"/>
      <c r="F39" s="5"/>
      <c r="G39" s="32"/>
    </row>
    <row r="40" spans="1:10" ht="18" x14ac:dyDescent="0.25">
      <c r="A40" s="208" t="s">
        <v>910</v>
      </c>
      <c r="B40" s="208"/>
      <c r="C40" s="208"/>
      <c r="D40" s="208"/>
      <c r="E40" s="208"/>
      <c r="F40" s="208"/>
      <c r="G40" s="208"/>
    </row>
    <row r="41" spans="1:10" ht="15" x14ac:dyDescent="0.3">
      <c r="A41" s="29"/>
      <c r="B41" s="9"/>
      <c r="C41" s="9"/>
      <c r="D41" s="9"/>
      <c r="E41" s="9"/>
      <c r="F41" s="10"/>
      <c r="G41" s="11"/>
    </row>
    <row r="42" spans="1:10" x14ac:dyDescent="0.2">
      <c r="A42" s="12" t="s">
        <v>2</v>
      </c>
      <c r="B42" s="12" t="s">
        <v>3</v>
      </c>
      <c r="C42" s="13" t="s">
        <v>4</v>
      </c>
      <c r="D42" s="14" t="s">
        <v>25</v>
      </c>
      <c r="E42" s="13" t="s">
        <v>6</v>
      </c>
      <c r="F42" s="13" t="s">
        <v>7</v>
      </c>
      <c r="G42" s="13" t="s">
        <v>32</v>
      </c>
    </row>
    <row r="43" spans="1:10" ht="30" x14ac:dyDescent="0.3">
      <c r="A43" s="15">
        <v>1</v>
      </c>
      <c r="B43" s="16">
        <v>40603</v>
      </c>
      <c r="C43" s="17" t="s">
        <v>911</v>
      </c>
      <c r="D43" s="18" t="s">
        <v>912</v>
      </c>
      <c r="E43" s="19" t="s">
        <v>913</v>
      </c>
      <c r="F43" s="20" t="s">
        <v>303</v>
      </c>
      <c r="G43" s="21">
        <f>141.6+371.7</f>
        <v>513.29999999999995</v>
      </c>
      <c r="H43" s="44" t="s">
        <v>27</v>
      </c>
    </row>
    <row r="44" spans="1:10" ht="15" x14ac:dyDescent="0.3">
      <c r="A44" s="15">
        <v>2</v>
      </c>
      <c r="B44" s="16">
        <v>40590</v>
      </c>
      <c r="C44" s="17" t="s">
        <v>914</v>
      </c>
      <c r="D44" s="18" t="s">
        <v>915</v>
      </c>
      <c r="E44" s="19" t="s">
        <v>205</v>
      </c>
      <c r="F44" s="20" t="s">
        <v>823</v>
      </c>
      <c r="G44" s="21">
        <v>535.5</v>
      </c>
      <c r="H44" s="44" t="s">
        <v>27</v>
      </c>
    </row>
    <row r="45" spans="1:10" ht="30" x14ac:dyDescent="0.3">
      <c r="A45" s="61">
        <v>3</v>
      </c>
      <c r="B45" s="62">
        <v>40624</v>
      </c>
      <c r="C45" s="63" t="s">
        <v>916</v>
      </c>
      <c r="D45" s="64" t="s">
        <v>917</v>
      </c>
      <c r="E45" s="65" t="s">
        <v>918</v>
      </c>
      <c r="F45" s="66" t="s">
        <v>919</v>
      </c>
      <c r="G45" s="67">
        <v>300</v>
      </c>
      <c r="H45" s="78"/>
      <c r="I45" s="78" t="s">
        <v>920</v>
      </c>
      <c r="J45" s="78"/>
    </row>
    <row r="46" spans="1:10" ht="30" x14ac:dyDescent="0.3">
      <c r="A46" s="61">
        <v>4</v>
      </c>
      <c r="B46" s="62">
        <v>40624</v>
      </c>
      <c r="C46" s="63" t="s">
        <v>916</v>
      </c>
      <c r="D46" s="64" t="s">
        <v>921</v>
      </c>
      <c r="E46" s="65" t="s">
        <v>922</v>
      </c>
      <c r="F46" s="66" t="s">
        <v>923</v>
      </c>
      <c r="G46" s="67">
        <v>500</v>
      </c>
      <c r="H46" s="79"/>
      <c r="I46" s="78" t="s">
        <v>920</v>
      </c>
      <c r="J46" s="80"/>
    </row>
    <row r="47" spans="1:10" ht="15" x14ac:dyDescent="0.3">
      <c r="A47" s="61">
        <v>5</v>
      </c>
      <c r="B47" s="62">
        <v>40614</v>
      </c>
      <c r="C47" s="63" t="s">
        <v>924</v>
      </c>
      <c r="D47" s="64" t="s">
        <v>925</v>
      </c>
      <c r="E47" s="65" t="s">
        <v>926</v>
      </c>
      <c r="F47" s="66" t="s">
        <v>927</v>
      </c>
      <c r="G47" s="67">
        <v>3098.13</v>
      </c>
      <c r="H47" s="79"/>
      <c r="I47" s="78" t="s">
        <v>920</v>
      </c>
      <c r="J47" s="80"/>
    </row>
    <row r="48" spans="1:10" ht="15" x14ac:dyDescent="0.3">
      <c r="A48" s="61">
        <v>6</v>
      </c>
      <c r="B48" s="62">
        <v>40616</v>
      </c>
      <c r="C48" s="63" t="s">
        <v>928</v>
      </c>
      <c r="D48" s="64" t="s">
        <v>929</v>
      </c>
      <c r="E48" s="65" t="s">
        <v>926</v>
      </c>
      <c r="F48" s="66" t="s">
        <v>930</v>
      </c>
      <c r="G48" s="67">
        <v>2906.98</v>
      </c>
      <c r="H48" s="78"/>
      <c r="I48" s="78" t="s">
        <v>920</v>
      </c>
      <c r="J48" s="78"/>
    </row>
    <row r="49" spans="1:10" ht="15" x14ac:dyDescent="0.3">
      <c r="A49" s="61">
        <v>7</v>
      </c>
      <c r="B49" s="62">
        <v>40621</v>
      </c>
      <c r="C49" s="63" t="s">
        <v>931</v>
      </c>
      <c r="D49" s="64" t="s">
        <v>932</v>
      </c>
      <c r="E49" s="65" t="s">
        <v>926</v>
      </c>
      <c r="F49" s="66" t="s">
        <v>933</v>
      </c>
      <c r="G49" s="67">
        <v>3109.33</v>
      </c>
      <c r="H49" s="78"/>
      <c r="I49" s="78" t="s">
        <v>920</v>
      </c>
      <c r="J49" s="78"/>
    </row>
    <row r="50" spans="1:10" ht="15" x14ac:dyDescent="0.3">
      <c r="A50" s="61">
        <v>8</v>
      </c>
      <c r="B50" s="62">
        <v>40620</v>
      </c>
      <c r="C50" s="63" t="s">
        <v>934</v>
      </c>
      <c r="D50" s="64" t="s">
        <v>935</v>
      </c>
      <c r="E50" s="65" t="s">
        <v>926</v>
      </c>
      <c r="F50" s="66" t="s">
        <v>930</v>
      </c>
      <c r="G50" s="67">
        <v>3022.88</v>
      </c>
      <c r="H50" s="78"/>
      <c r="I50" s="78" t="s">
        <v>920</v>
      </c>
      <c r="J50" s="78"/>
    </row>
    <row r="51" spans="1:10" ht="15" x14ac:dyDescent="0.3">
      <c r="A51" s="61">
        <v>9</v>
      </c>
      <c r="B51" s="62">
        <v>40619</v>
      </c>
      <c r="C51" s="63" t="s">
        <v>936</v>
      </c>
      <c r="D51" s="64" t="s">
        <v>937</v>
      </c>
      <c r="E51" s="65" t="s">
        <v>926</v>
      </c>
      <c r="F51" s="66" t="s">
        <v>930</v>
      </c>
      <c r="G51" s="67">
        <v>2995.17</v>
      </c>
      <c r="H51" s="78"/>
      <c r="I51" s="78" t="s">
        <v>920</v>
      </c>
      <c r="J51" s="78"/>
    </row>
    <row r="52" spans="1:10" ht="15" x14ac:dyDescent="0.3">
      <c r="A52" s="61">
        <v>10</v>
      </c>
      <c r="B52" s="62">
        <v>40617</v>
      </c>
      <c r="C52" s="63" t="s">
        <v>938</v>
      </c>
      <c r="D52" s="64" t="s">
        <v>939</v>
      </c>
      <c r="E52" s="65" t="s">
        <v>926</v>
      </c>
      <c r="F52" s="66" t="s">
        <v>940</v>
      </c>
      <c r="G52" s="67">
        <v>3187.12</v>
      </c>
      <c r="H52" s="78"/>
      <c r="I52" s="78" t="s">
        <v>920</v>
      </c>
      <c r="J52" s="78"/>
    </row>
    <row r="53" spans="1:10" ht="15" x14ac:dyDescent="0.3">
      <c r="A53" s="61">
        <v>11</v>
      </c>
      <c r="B53" s="62">
        <v>40618</v>
      </c>
      <c r="C53" s="63" t="s">
        <v>941</v>
      </c>
      <c r="D53" s="64" t="s">
        <v>942</v>
      </c>
      <c r="E53" s="65" t="s">
        <v>926</v>
      </c>
      <c r="F53" s="66" t="s">
        <v>930</v>
      </c>
      <c r="G53" s="67">
        <v>3277.03</v>
      </c>
      <c r="H53" s="78"/>
      <c r="I53" s="78" t="s">
        <v>920</v>
      </c>
      <c r="J53" s="78"/>
    </row>
    <row r="54" spans="1:10" ht="30" x14ac:dyDescent="0.3">
      <c r="A54" s="15">
        <v>12</v>
      </c>
      <c r="B54" s="16">
        <v>40630</v>
      </c>
      <c r="C54" s="17" t="s">
        <v>943</v>
      </c>
      <c r="D54" s="18" t="s">
        <v>944</v>
      </c>
      <c r="E54" s="19" t="s">
        <v>945</v>
      </c>
      <c r="F54" s="20" t="s">
        <v>946</v>
      </c>
      <c r="G54" s="21">
        <v>143.24</v>
      </c>
      <c r="H54" t="s">
        <v>27</v>
      </c>
    </row>
    <row r="55" spans="1:10" ht="30" x14ac:dyDescent="0.3">
      <c r="A55" s="15">
        <v>13</v>
      </c>
      <c r="B55" s="16">
        <v>40630</v>
      </c>
      <c r="C55" s="17" t="s">
        <v>943</v>
      </c>
      <c r="D55" s="18" t="s">
        <v>947</v>
      </c>
      <c r="E55" s="19" t="s">
        <v>948</v>
      </c>
      <c r="F55" s="20" t="s">
        <v>949</v>
      </c>
      <c r="G55" s="21">
        <v>479.05</v>
      </c>
      <c r="H55" t="s">
        <v>27</v>
      </c>
    </row>
    <row r="56" spans="1:10" ht="30" x14ac:dyDescent="0.3">
      <c r="A56" s="15">
        <v>14</v>
      </c>
      <c r="B56" s="16">
        <v>40638</v>
      </c>
      <c r="C56" s="17" t="s">
        <v>950</v>
      </c>
      <c r="D56" s="18" t="s">
        <v>951</v>
      </c>
      <c r="E56" s="19" t="s">
        <v>131</v>
      </c>
      <c r="F56" s="20" t="s">
        <v>952</v>
      </c>
      <c r="G56" s="21">
        <v>2517</v>
      </c>
      <c r="H56" t="s">
        <v>27</v>
      </c>
    </row>
    <row r="57" spans="1:10" ht="30" x14ac:dyDescent="0.3">
      <c r="A57" s="15">
        <v>15</v>
      </c>
      <c r="B57" s="16">
        <v>40591</v>
      </c>
      <c r="C57" s="17" t="s">
        <v>953</v>
      </c>
      <c r="D57" s="18" t="s">
        <v>954</v>
      </c>
      <c r="E57" s="19" t="s">
        <v>114</v>
      </c>
      <c r="F57" s="20" t="s">
        <v>955</v>
      </c>
      <c r="G57" s="21">
        <v>5165</v>
      </c>
      <c r="H57" t="s">
        <v>27</v>
      </c>
    </row>
    <row r="58" spans="1:10" ht="15" x14ac:dyDescent="0.3">
      <c r="A58" s="61">
        <v>16</v>
      </c>
      <c r="B58" s="62">
        <v>40631</v>
      </c>
      <c r="C58" s="63" t="s">
        <v>956</v>
      </c>
      <c r="D58" s="64" t="s">
        <v>957</v>
      </c>
      <c r="E58" s="65" t="s">
        <v>245</v>
      </c>
      <c r="F58" s="66" t="s">
        <v>958</v>
      </c>
      <c r="G58" s="67">
        <v>1378.02</v>
      </c>
      <c r="H58" s="78" t="s">
        <v>27</v>
      </c>
      <c r="I58" s="78" t="s">
        <v>920</v>
      </c>
      <c r="J58" s="78"/>
    </row>
    <row r="59" spans="1:10" ht="30" x14ac:dyDescent="0.3">
      <c r="A59" s="61">
        <v>17</v>
      </c>
      <c r="B59" s="62">
        <v>40631</v>
      </c>
      <c r="C59" s="63" t="s">
        <v>956</v>
      </c>
      <c r="D59" s="64" t="s">
        <v>959</v>
      </c>
      <c r="E59" s="65" t="s">
        <v>960</v>
      </c>
      <c r="F59" s="66" t="s">
        <v>961</v>
      </c>
      <c r="G59" s="67">
        <v>469</v>
      </c>
      <c r="H59" s="78" t="s">
        <v>27</v>
      </c>
      <c r="I59" s="78" t="s">
        <v>920</v>
      </c>
      <c r="J59" s="78"/>
    </row>
    <row r="60" spans="1:10" ht="30" x14ac:dyDescent="0.3">
      <c r="A60" s="61">
        <v>18</v>
      </c>
      <c r="B60" s="62">
        <v>40630</v>
      </c>
      <c r="C60" s="63" t="s">
        <v>956</v>
      </c>
      <c r="D60" s="64" t="s">
        <v>962</v>
      </c>
      <c r="E60" s="65" t="s">
        <v>963</v>
      </c>
      <c r="F60" s="66" t="s">
        <v>964</v>
      </c>
      <c r="G60" s="67">
        <v>2071.65</v>
      </c>
      <c r="H60" s="78" t="s">
        <v>27</v>
      </c>
      <c r="I60" s="78" t="s">
        <v>920</v>
      </c>
      <c r="J60" s="78"/>
    </row>
    <row r="61" spans="1:10" ht="30" x14ac:dyDescent="0.3">
      <c r="A61" s="15">
        <v>19</v>
      </c>
      <c r="B61" s="16">
        <v>40638</v>
      </c>
      <c r="C61" s="17" t="s">
        <v>965</v>
      </c>
      <c r="D61" s="18" t="s">
        <v>966</v>
      </c>
      <c r="E61" s="19" t="s">
        <v>131</v>
      </c>
      <c r="F61" s="20" t="s">
        <v>967</v>
      </c>
      <c r="G61" s="21">
        <v>7345</v>
      </c>
      <c r="H61" t="s">
        <v>27</v>
      </c>
    </row>
    <row r="62" spans="1:10" ht="30" x14ac:dyDescent="0.3">
      <c r="A62" s="15">
        <v>20</v>
      </c>
      <c r="B62" s="16">
        <v>40632</v>
      </c>
      <c r="C62" s="17" t="s">
        <v>956</v>
      </c>
      <c r="D62" s="18" t="s">
        <v>968</v>
      </c>
      <c r="E62" s="19" t="s">
        <v>969</v>
      </c>
      <c r="F62" s="20" t="s">
        <v>970</v>
      </c>
      <c r="G62" s="21">
        <v>2150</v>
      </c>
      <c r="H62" t="s">
        <v>27</v>
      </c>
    </row>
    <row r="63" spans="1:10" ht="15" x14ac:dyDescent="0.3">
      <c r="A63" s="29"/>
      <c r="B63" s="30"/>
      <c r="C63" s="37"/>
      <c r="D63" s="30"/>
      <c r="E63" s="5"/>
      <c r="F63" s="46" t="s">
        <v>24</v>
      </c>
      <c r="G63" s="36">
        <f>SUM(G43:G62)</f>
        <v>45163.4</v>
      </c>
    </row>
    <row r="64" spans="1:10" ht="15" x14ac:dyDescent="0.3">
      <c r="A64" s="29"/>
      <c r="B64" s="30"/>
      <c r="C64" s="37"/>
      <c r="D64" s="30"/>
      <c r="E64" s="5"/>
      <c r="F64" s="55"/>
      <c r="G64" s="56"/>
    </row>
    <row r="65" spans="1:10" ht="15" x14ac:dyDescent="0.3">
      <c r="A65" s="29"/>
      <c r="B65" s="30"/>
      <c r="C65" s="37"/>
      <c r="D65" s="30"/>
      <c r="E65" s="5"/>
      <c r="F65" s="55"/>
      <c r="G65" s="56"/>
    </row>
    <row r="66" spans="1:10" ht="15" x14ac:dyDescent="0.3">
      <c r="A66" s="29"/>
      <c r="B66" s="30"/>
      <c r="C66" s="37"/>
      <c r="D66" s="30"/>
      <c r="E66" s="5"/>
      <c r="F66" s="55"/>
      <c r="G66" s="56"/>
    </row>
    <row r="67" spans="1:10" x14ac:dyDescent="0.2">
      <c r="B67" s="35"/>
    </row>
    <row r="68" spans="1:10" ht="18.75" x14ac:dyDescent="0.3">
      <c r="A68" s="209" t="s">
        <v>1</v>
      </c>
      <c r="B68" s="209"/>
      <c r="C68" s="209"/>
      <c r="D68" s="209"/>
      <c r="E68" s="209"/>
      <c r="F68" s="47"/>
      <c r="G68" s="47"/>
    </row>
    <row r="69" spans="1:10" ht="15" x14ac:dyDescent="0.3">
      <c r="A69" s="1"/>
      <c r="B69" s="37"/>
      <c r="C69" s="37"/>
      <c r="D69" s="37"/>
      <c r="E69" s="47"/>
      <c r="F69" s="47"/>
      <c r="G69" s="48"/>
    </row>
    <row r="70" spans="1:10" ht="15" x14ac:dyDescent="0.3">
      <c r="A70" s="1"/>
      <c r="B70" s="37"/>
      <c r="C70" s="37"/>
      <c r="D70" s="37"/>
      <c r="E70" s="47"/>
      <c r="F70" s="47"/>
      <c r="G70" s="48"/>
    </row>
    <row r="71" spans="1:10" ht="18" x14ac:dyDescent="0.25">
      <c r="A71" s="210" t="s">
        <v>971</v>
      </c>
      <c r="B71" s="210"/>
      <c r="C71" s="210"/>
      <c r="D71" s="210"/>
      <c r="E71" s="210"/>
      <c r="F71" s="210"/>
      <c r="G71" s="210"/>
    </row>
    <row r="72" spans="1:10" ht="15" x14ac:dyDescent="0.3">
      <c r="A72" s="1"/>
      <c r="B72" s="49"/>
      <c r="C72" s="49"/>
      <c r="D72" s="49"/>
      <c r="E72" s="49"/>
      <c r="F72" s="50"/>
      <c r="G72" s="47"/>
    </row>
    <row r="73" spans="1:10" x14ac:dyDescent="0.2">
      <c r="A73" s="51" t="s">
        <v>2</v>
      </c>
      <c r="B73" s="51" t="s">
        <v>3</v>
      </c>
      <c r="C73" s="51" t="s">
        <v>4</v>
      </c>
      <c r="D73" s="51" t="s">
        <v>5</v>
      </c>
      <c r="E73" s="51" t="s">
        <v>6</v>
      </c>
      <c r="F73" s="51" t="s">
        <v>146</v>
      </c>
      <c r="G73" s="13" t="s">
        <v>32</v>
      </c>
    </row>
    <row r="74" spans="1:10" ht="30" x14ac:dyDescent="0.3">
      <c r="A74" s="52">
        <v>1</v>
      </c>
      <c r="B74" s="53">
        <v>40589</v>
      </c>
      <c r="C74" s="17" t="s">
        <v>841</v>
      </c>
      <c r="D74" s="54">
        <v>40634</v>
      </c>
      <c r="E74" s="19" t="s">
        <v>148</v>
      </c>
      <c r="F74" s="20" t="s">
        <v>149</v>
      </c>
      <c r="G74" s="21">
        <v>6008.31</v>
      </c>
      <c r="H74" s="1" t="s">
        <v>842</v>
      </c>
      <c r="J74" t="s">
        <v>27</v>
      </c>
    </row>
    <row r="75" spans="1:10" ht="15" x14ac:dyDescent="0.3">
      <c r="A75" s="52">
        <v>2</v>
      </c>
      <c r="B75" s="53">
        <v>40620</v>
      </c>
      <c r="C75" s="17" t="s">
        <v>972</v>
      </c>
      <c r="D75" s="54">
        <f>+B75+12</f>
        <v>40632</v>
      </c>
      <c r="E75" s="19" t="s">
        <v>973</v>
      </c>
      <c r="F75" s="20"/>
      <c r="G75" s="21">
        <f>137.43+239.7+215.28+186.2+118.46</f>
        <v>897.06999999999994</v>
      </c>
      <c r="H75" s="1" t="s">
        <v>974</v>
      </c>
      <c r="J75" t="s">
        <v>27</v>
      </c>
    </row>
    <row r="76" spans="1:10" ht="15" x14ac:dyDescent="0.3">
      <c r="A76" s="1"/>
      <c r="B76" s="37"/>
      <c r="C76" s="37"/>
      <c r="D76" s="37"/>
      <c r="E76" s="47"/>
      <c r="F76" s="51" t="s">
        <v>155</v>
      </c>
      <c r="G76" s="36">
        <f>SUM(G74:G74)</f>
        <v>6008.31</v>
      </c>
    </row>
    <row r="77" spans="1:10" ht="15" x14ac:dyDescent="0.3">
      <c r="A77" s="1"/>
      <c r="B77" s="37"/>
      <c r="C77" s="37"/>
      <c r="D77" s="37"/>
      <c r="E77" s="47"/>
      <c r="F77" s="81"/>
      <c r="G77" s="56"/>
    </row>
    <row r="78" spans="1:10" ht="15" x14ac:dyDescent="0.3">
      <c r="A78" s="1"/>
      <c r="B78" s="37"/>
      <c r="C78" s="37"/>
      <c r="D78" s="37"/>
      <c r="E78" s="47"/>
      <c r="F78" s="81"/>
      <c r="G78" s="56"/>
    </row>
    <row r="79" spans="1:10" ht="15" x14ac:dyDescent="0.3">
      <c r="A79" s="29"/>
      <c r="B79" s="30"/>
      <c r="C79" s="37"/>
      <c r="D79" s="30"/>
      <c r="E79" s="5"/>
      <c r="F79" s="55"/>
      <c r="G79" s="56"/>
    </row>
    <row r="80" spans="1:10" ht="15" customHeight="1" x14ac:dyDescent="0.3">
      <c r="A80" s="29"/>
      <c r="B80" s="30"/>
      <c r="C80" s="37"/>
      <c r="D80" s="30"/>
      <c r="E80" s="5"/>
      <c r="F80" s="207" t="s">
        <v>0</v>
      </c>
      <c r="G80" s="207"/>
    </row>
    <row r="81" spans="1:9" ht="18.75" x14ac:dyDescent="0.3">
      <c r="A81" s="31" t="s">
        <v>1</v>
      </c>
      <c r="B81" s="29"/>
      <c r="C81" s="37"/>
      <c r="D81" s="30"/>
      <c r="E81" s="5"/>
      <c r="F81" s="29"/>
      <c r="G81" s="29"/>
    </row>
    <row r="82" spans="1:9" ht="15" x14ac:dyDescent="0.3">
      <c r="A82" s="29"/>
      <c r="B82" s="30"/>
      <c r="C82" s="37"/>
      <c r="D82" s="30"/>
      <c r="E82" s="5"/>
      <c r="F82" s="5"/>
      <c r="G82" s="32"/>
    </row>
    <row r="83" spans="1:9" ht="15" x14ac:dyDescent="0.3">
      <c r="A83" s="29"/>
      <c r="B83" s="30"/>
      <c r="C83" s="37"/>
      <c r="D83" s="30"/>
      <c r="E83" s="5"/>
      <c r="F83" s="5"/>
      <c r="G83" s="32"/>
    </row>
    <row r="84" spans="1:9" ht="18" x14ac:dyDescent="0.25">
      <c r="A84" s="208" t="s">
        <v>975</v>
      </c>
      <c r="B84" s="208"/>
      <c r="C84" s="208"/>
      <c r="D84" s="208"/>
      <c r="E84" s="208"/>
      <c r="F84" s="208"/>
      <c r="G84" s="208"/>
    </row>
    <row r="85" spans="1:9" ht="18" x14ac:dyDescent="0.25">
      <c r="A85" s="208" t="s">
        <v>157</v>
      </c>
      <c r="B85" s="208"/>
      <c r="C85" s="208"/>
      <c r="D85" s="208"/>
      <c r="E85" s="208"/>
      <c r="F85" s="208"/>
      <c r="G85" s="208"/>
    </row>
    <row r="86" spans="1:9" ht="15" x14ac:dyDescent="0.3">
      <c r="A86" s="29"/>
      <c r="B86" s="9"/>
      <c r="C86" s="9"/>
      <c r="D86" s="9"/>
      <c r="E86" s="9"/>
      <c r="F86" s="10"/>
      <c r="G86" s="11"/>
    </row>
    <row r="87" spans="1:9" x14ac:dyDescent="0.2">
      <c r="A87" s="12" t="s">
        <v>2</v>
      </c>
      <c r="B87" s="12" t="s">
        <v>3</v>
      </c>
      <c r="C87" s="13" t="s">
        <v>4</v>
      </c>
      <c r="D87" s="14" t="s">
        <v>25</v>
      </c>
      <c r="E87" s="13" t="s">
        <v>6</v>
      </c>
      <c r="F87" s="13" t="s">
        <v>7</v>
      </c>
      <c r="G87" s="13" t="s">
        <v>32</v>
      </c>
      <c r="H87" s="13" t="s">
        <v>8</v>
      </c>
    </row>
    <row r="88" spans="1:9" ht="30" x14ac:dyDescent="0.3">
      <c r="A88" s="15">
        <v>1</v>
      </c>
      <c r="B88" s="16">
        <v>40631</v>
      </c>
      <c r="C88" s="17" t="s">
        <v>173</v>
      </c>
      <c r="D88" s="18" t="s">
        <v>976</v>
      </c>
      <c r="E88" s="19" t="s">
        <v>281</v>
      </c>
      <c r="F88" s="20" t="s">
        <v>977</v>
      </c>
      <c r="G88" s="21">
        <v>1366.7</v>
      </c>
      <c r="H88" s="21">
        <v>0</v>
      </c>
      <c r="I88" t="s">
        <v>27</v>
      </c>
    </row>
    <row r="89" spans="1:9" ht="30" x14ac:dyDescent="0.3">
      <c r="A89" s="15">
        <v>2</v>
      </c>
      <c r="B89" s="16">
        <v>40631</v>
      </c>
      <c r="C89" s="17" t="s">
        <v>173</v>
      </c>
      <c r="D89" s="18" t="s">
        <v>978</v>
      </c>
      <c r="E89" s="19" t="s">
        <v>281</v>
      </c>
      <c r="F89" s="20" t="s">
        <v>977</v>
      </c>
      <c r="G89" s="21">
        <v>0</v>
      </c>
      <c r="H89" s="21">
        <v>2384.0100000000002</v>
      </c>
      <c r="I89" t="s">
        <v>27</v>
      </c>
    </row>
    <row r="90" spans="1:9" ht="45" x14ac:dyDescent="0.3">
      <c r="A90" s="15">
        <v>3</v>
      </c>
      <c r="B90" s="16">
        <v>40631</v>
      </c>
      <c r="C90" s="17" t="s">
        <v>173</v>
      </c>
      <c r="D90" s="18" t="s">
        <v>979</v>
      </c>
      <c r="E90" s="19" t="s">
        <v>281</v>
      </c>
      <c r="F90" s="20" t="s">
        <v>980</v>
      </c>
      <c r="G90" s="21">
        <v>912.6</v>
      </c>
      <c r="H90" s="21">
        <v>0</v>
      </c>
      <c r="I90" t="s">
        <v>27</v>
      </c>
    </row>
    <row r="91" spans="1:9" ht="45" x14ac:dyDescent="0.3">
      <c r="A91" s="15">
        <v>4</v>
      </c>
      <c r="B91" s="16">
        <v>40631</v>
      </c>
      <c r="C91" s="17" t="s">
        <v>173</v>
      </c>
      <c r="D91" s="18" t="s">
        <v>981</v>
      </c>
      <c r="E91" s="19" t="s">
        <v>281</v>
      </c>
      <c r="F91" s="20" t="s">
        <v>980</v>
      </c>
      <c r="G91" s="21">
        <v>0</v>
      </c>
      <c r="H91" s="21">
        <v>280.5</v>
      </c>
      <c r="I91" t="s">
        <v>27</v>
      </c>
    </row>
    <row r="92" spans="1:9" s="60" customFormat="1" ht="30" customHeight="1" x14ac:dyDescent="0.3">
      <c r="A92" s="15">
        <v>5</v>
      </c>
      <c r="B92" s="16">
        <v>40633</v>
      </c>
      <c r="C92" s="17" t="s">
        <v>29</v>
      </c>
      <c r="D92" s="18" t="s">
        <v>854</v>
      </c>
      <c r="E92" s="19" t="s">
        <v>850</v>
      </c>
      <c r="F92" s="20" t="s">
        <v>982</v>
      </c>
      <c r="G92" s="21">
        <v>13348</v>
      </c>
      <c r="H92" s="21">
        <v>0</v>
      </c>
      <c r="I92" s="60" t="s">
        <v>27</v>
      </c>
    </row>
    <row r="93" spans="1:9" s="60" customFormat="1" ht="30" customHeight="1" x14ac:dyDescent="0.3">
      <c r="A93" s="15">
        <v>6</v>
      </c>
      <c r="B93" s="16">
        <v>40633</v>
      </c>
      <c r="C93" s="17" t="s">
        <v>29</v>
      </c>
      <c r="D93" s="18" t="s">
        <v>983</v>
      </c>
      <c r="E93" s="19" t="s">
        <v>850</v>
      </c>
      <c r="F93" s="20" t="s">
        <v>984</v>
      </c>
      <c r="G93" s="21">
        <v>3047</v>
      </c>
      <c r="H93" s="21">
        <v>0</v>
      </c>
      <c r="I93" s="60" t="s">
        <v>27</v>
      </c>
    </row>
    <row r="94" spans="1:9" s="60" customFormat="1" ht="30" x14ac:dyDescent="0.3">
      <c r="A94" s="15">
        <v>7</v>
      </c>
      <c r="B94" s="16">
        <v>40633</v>
      </c>
      <c r="C94" s="17" t="s">
        <v>29</v>
      </c>
      <c r="D94" s="18" t="s">
        <v>857</v>
      </c>
      <c r="E94" s="19" t="s">
        <v>850</v>
      </c>
      <c r="F94" s="20" t="s">
        <v>982</v>
      </c>
      <c r="G94" s="21">
        <v>17334</v>
      </c>
      <c r="H94" s="21">
        <v>0</v>
      </c>
      <c r="I94" s="60" t="s">
        <v>27</v>
      </c>
    </row>
    <row r="95" spans="1:9" s="60" customFormat="1" ht="30" x14ac:dyDescent="0.3">
      <c r="A95" s="15">
        <v>8</v>
      </c>
      <c r="B95" s="16">
        <v>40633</v>
      </c>
      <c r="C95" s="17" t="s">
        <v>29</v>
      </c>
      <c r="D95" s="18" t="s">
        <v>985</v>
      </c>
      <c r="E95" s="19" t="s">
        <v>850</v>
      </c>
      <c r="F95" s="20" t="s">
        <v>984</v>
      </c>
      <c r="G95" s="21">
        <v>3961</v>
      </c>
      <c r="H95" s="21">
        <v>0</v>
      </c>
      <c r="I95" s="60" t="s">
        <v>27</v>
      </c>
    </row>
    <row r="96" spans="1:9" s="60" customFormat="1" ht="30" x14ac:dyDescent="0.3">
      <c r="A96" s="15">
        <v>9</v>
      </c>
      <c r="B96" s="16">
        <v>40633</v>
      </c>
      <c r="C96" s="17" t="s">
        <v>29</v>
      </c>
      <c r="D96" s="18" t="s">
        <v>859</v>
      </c>
      <c r="E96" s="19" t="s">
        <v>850</v>
      </c>
      <c r="F96" s="20" t="s">
        <v>986</v>
      </c>
      <c r="G96" s="21">
        <v>17629</v>
      </c>
      <c r="H96" s="21">
        <v>0</v>
      </c>
      <c r="I96" s="60" t="s">
        <v>27</v>
      </c>
    </row>
    <row r="97" spans="1:9" s="60" customFormat="1" ht="30" x14ac:dyDescent="0.3">
      <c r="A97" s="15">
        <v>10</v>
      </c>
      <c r="B97" s="16">
        <v>40633</v>
      </c>
      <c r="C97" s="17" t="s">
        <v>29</v>
      </c>
      <c r="D97" s="18" t="s">
        <v>861</v>
      </c>
      <c r="E97" s="19" t="s">
        <v>850</v>
      </c>
      <c r="F97" s="20" t="s">
        <v>987</v>
      </c>
      <c r="G97" s="21">
        <v>4028</v>
      </c>
      <c r="H97" s="21">
        <v>0</v>
      </c>
      <c r="I97" s="60" t="s">
        <v>27</v>
      </c>
    </row>
    <row r="98" spans="1:9" ht="15" x14ac:dyDescent="0.3">
      <c r="A98" s="29"/>
      <c r="B98" s="30"/>
      <c r="C98" s="37"/>
      <c r="D98" s="30"/>
      <c r="E98" s="5"/>
      <c r="F98" s="46" t="s">
        <v>24</v>
      </c>
      <c r="G98" s="36">
        <f>SUM(G88:G97)</f>
        <v>61626.3</v>
      </c>
      <c r="H98" s="27">
        <f>SUM(H88:H97)</f>
        <v>2664.51</v>
      </c>
    </row>
    <row r="102" spans="1:9" x14ac:dyDescent="0.2">
      <c r="A102" s="211" t="s">
        <v>609</v>
      </c>
      <c r="B102" s="211"/>
      <c r="C102" s="211"/>
      <c r="D102" s="211"/>
      <c r="E102" s="211"/>
      <c r="F102" s="211"/>
      <c r="G102" s="211"/>
    </row>
    <row r="103" spans="1:9" x14ac:dyDescent="0.2">
      <c r="A103" s="211"/>
      <c r="B103" s="211"/>
      <c r="C103" s="211"/>
      <c r="D103" s="211"/>
      <c r="E103" s="211"/>
      <c r="F103" s="211"/>
      <c r="G103" s="211"/>
    </row>
    <row r="104" spans="1:9" x14ac:dyDescent="0.2">
      <c r="A104" s="211"/>
      <c r="B104" s="211"/>
      <c r="C104" s="211"/>
      <c r="D104" s="211"/>
      <c r="E104" s="211"/>
      <c r="F104" s="211"/>
      <c r="G104" s="211"/>
    </row>
    <row r="105" spans="1:9" x14ac:dyDescent="0.2">
      <c r="B105" s="35"/>
    </row>
    <row r="106" spans="1:9" ht="15" customHeight="1" x14ac:dyDescent="0.3">
      <c r="A106" s="1"/>
      <c r="B106" s="2"/>
      <c r="C106" s="3"/>
      <c r="D106" s="4"/>
      <c r="E106" s="5"/>
      <c r="F106" s="207" t="s">
        <v>0</v>
      </c>
      <c r="G106" s="207"/>
    </row>
    <row r="107" spans="1:9" ht="18.75" x14ac:dyDescent="0.3">
      <c r="A107" s="7" t="s">
        <v>1</v>
      </c>
      <c r="B107" s="7"/>
      <c r="C107" s="3"/>
      <c r="D107" s="4"/>
      <c r="E107" s="5"/>
      <c r="F107" s="5"/>
      <c r="G107" s="8"/>
    </row>
    <row r="108" spans="1:9" ht="15" x14ac:dyDescent="0.3">
      <c r="A108" s="1"/>
      <c r="B108" s="2"/>
      <c r="C108" s="3"/>
      <c r="D108" s="4"/>
      <c r="E108" s="5"/>
      <c r="F108" s="5"/>
      <c r="G108" s="8"/>
    </row>
    <row r="109" spans="1:9" ht="15" x14ac:dyDescent="0.3">
      <c r="A109" s="1"/>
      <c r="B109" s="2"/>
      <c r="C109" s="3"/>
      <c r="D109" s="4"/>
      <c r="E109" s="5"/>
      <c r="F109" s="5"/>
      <c r="G109" s="8"/>
    </row>
    <row r="110" spans="1:9" ht="18" x14ac:dyDescent="0.25">
      <c r="A110" s="208" t="s">
        <v>865</v>
      </c>
      <c r="B110" s="208"/>
      <c r="C110" s="208"/>
      <c r="D110" s="208"/>
      <c r="E110" s="208"/>
      <c r="F110" s="208"/>
      <c r="G110" s="208"/>
    </row>
    <row r="111" spans="1:9" ht="15" x14ac:dyDescent="0.3">
      <c r="A111" s="1"/>
      <c r="B111" s="9"/>
      <c r="C111" s="9"/>
      <c r="D111" s="9"/>
      <c r="E111" s="9"/>
      <c r="F111" s="10"/>
      <c r="G111" s="11"/>
    </row>
    <row r="112" spans="1:9" x14ac:dyDescent="0.2">
      <c r="A112" s="12" t="s">
        <v>2</v>
      </c>
      <c r="B112" s="12" t="s">
        <v>3</v>
      </c>
      <c r="C112" s="13" t="s">
        <v>4</v>
      </c>
      <c r="D112" s="14" t="s">
        <v>5</v>
      </c>
      <c r="E112" s="13" t="s">
        <v>6</v>
      </c>
      <c r="F112" s="13" t="s">
        <v>7</v>
      </c>
      <c r="G112" s="13" t="s">
        <v>32</v>
      </c>
    </row>
    <row r="113" spans="1:8" ht="30" x14ac:dyDescent="0.3">
      <c r="A113" s="15">
        <v>1</v>
      </c>
      <c r="B113" s="16">
        <v>40600</v>
      </c>
      <c r="C113" s="17" t="s">
        <v>988</v>
      </c>
      <c r="D113" s="18">
        <f>+B113+30</f>
        <v>40630</v>
      </c>
      <c r="E113" s="19" t="s">
        <v>611</v>
      </c>
      <c r="F113" s="19" t="s">
        <v>989</v>
      </c>
      <c r="G113" s="21">
        <v>3599.98</v>
      </c>
      <c r="H113" t="s">
        <v>868</v>
      </c>
    </row>
    <row r="114" spans="1:8" ht="15" x14ac:dyDescent="0.3">
      <c r="A114" s="15">
        <v>2</v>
      </c>
      <c r="B114" s="16">
        <v>40610</v>
      </c>
      <c r="C114" s="17" t="s">
        <v>990</v>
      </c>
      <c r="D114" s="18">
        <f>+B114</f>
        <v>40610</v>
      </c>
      <c r="E114" s="19" t="s">
        <v>875</v>
      </c>
      <c r="F114" s="19" t="s">
        <v>224</v>
      </c>
      <c r="G114" s="21">
        <v>3776</v>
      </c>
      <c r="H114" t="s">
        <v>868</v>
      </c>
    </row>
    <row r="115" spans="1:8" ht="15" x14ac:dyDescent="0.3">
      <c r="A115" s="15">
        <v>3</v>
      </c>
      <c r="B115" s="16">
        <v>40617</v>
      </c>
      <c r="C115" s="17" t="s">
        <v>991</v>
      </c>
      <c r="D115" s="18">
        <f>+B115+15</f>
        <v>40632</v>
      </c>
      <c r="E115" s="19" t="s">
        <v>787</v>
      </c>
      <c r="F115" s="19" t="s">
        <v>878</v>
      </c>
      <c r="G115" s="21">
        <v>85</v>
      </c>
      <c r="H115" t="s">
        <v>868</v>
      </c>
    </row>
    <row r="116" spans="1:8" ht="30" x14ac:dyDescent="0.3">
      <c r="A116" s="15">
        <v>4</v>
      </c>
      <c r="B116" s="16">
        <v>40619</v>
      </c>
      <c r="C116" s="17" t="s">
        <v>992</v>
      </c>
      <c r="D116" s="18">
        <f>+B116</f>
        <v>40619</v>
      </c>
      <c r="E116" s="19" t="s">
        <v>70</v>
      </c>
      <c r="F116" s="19" t="s">
        <v>71</v>
      </c>
      <c r="G116" s="21">
        <v>22875</v>
      </c>
      <c r="H116" t="s">
        <v>868</v>
      </c>
    </row>
    <row r="117" spans="1:8" ht="15" x14ac:dyDescent="0.2">
      <c r="A117" s="22"/>
      <c r="B117" s="22"/>
      <c r="C117" s="23"/>
      <c r="D117" s="24"/>
      <c r="E117" s="25"/>
      <c r="F117" s="26" t="s">
        <v>24</v>
      </c>
      <c r="G117" s="36">
        <f>SUM(G113:G116)</f>
        <v>30335.98</v>
      </c>
    </row>
    <row r="118" spans="1:8" x14ac:dyDescent="0.2">
      <c r="B118" s="35"/>
    </row>
    <row r="119" spans="1:8" x14ac:dyDescent="0.2">
      <c r="B119" s="35"/>
    </row>
    <row r="123" spans="1:8" ht="15" customHeight="1" x14ac:dyDescent="0.3">
      <c r="A123" s="29"/>
      <c r="B123" s="30"/>
      <c r="C123" s="37"/>
      <c r="D123" s="30"/>
      <c r="E123" s="5"/>
      <c r="F123" s="207" t="s">
        <v>0</v>
      </c>
      <c r="G123" s="207"/>
    </row>
    <row r="124" spans="1:8" ht="18.75" x14ac:dyDescent="0.3">
      <c r="A124" s="31" t="s">
        <v>1</v>
      </c>
      <c r="B124" s="29"/>
      <c r="C124" s="37"/>
      <c r="D124" s="30"/>
      <c r="E124" s="5"/>
      <c r="F124" s="29"/>
      <c r="G124" s="29"/>
    </row>
    <row r="125" spans="1:8" ht="15" x14ac:dyDescent="0.3">
      <c r="A125" s="29"/>
      <c r="B125" s="30"/>
      <c r="C125" s="37"/>
      <c r="D125" s="30"/>
      <c r="E125" s="5"/>
      <c r="F125" s="5"/>
      <c r="G125" s="32"/>
    </row>
    <row r="126" spans="1:8" ht="15" x14ac:dyDescent="0.3">
      <c r="A126" s="29"/>
      <c r="B126" s="30"/>
      <c r="C126" s="37"/>
      <c r="D126" s="30"/>
      <c r="E126" s="5"/>
      <c r="F126" s="5"/>
      <c r="G126" s="32"/>
    </row>
    <row r="127" spans="1:8" ht="18" x14ac:dyDescent="0.25">
      <c r="A127" s="208" t="s">
        <v>910</v>
      </c>
      <c r="B127" s="208"/>
      <c r="C127" s="208"/>
      <c r="D127" s="208"/>
      <c r="E127" s="208"/>
      <c r="F127" s="208"/>
      <c r="G127" s="208"/>
    </row>
    <row r="128" spans="1:8" ht="15" x14ac:dyDescent="0.3">
      <c r="A128" s="29"/>
      <c r="B128" s="9"/>
      <c r="C128" s="9"/>
      <c r="D128" s="9"/>
      <c r="E128" s="9"/>
      <c r="F128" s="10"/>
      <c r="G128" s="11"/>
    </row>
    <row r="129" spans="1:8" x14ac:dyDescent="0.2">
      <c r="A129" s="12" t="s">
        <v>2</v>
      </c>
      <c r="B129" s="12" t="s">
        <v>3</v>
      </c>
      <c r="C129" s="13" t="s">
        <v>4</v>
      </c>
      <c r="D129" s="14" t="s">
        <v>25</v>
      </c>
      <c r="E129" s="13" t="s">
        <v>6</v>
      </c>
      <c r="F129" s="13" t="s">
        <v>7</v>
      </c>
      <c r="G129" s="13" t="s">
        <v>32</v>
      </c>
    </row>
    <row r="130" spans="1:8" ht="30" x14ac:dyDescent="0.3">
      <c r="A130" s="15">
        <v>1</v>
      </c>
      <c r="B130" s="16">
        <v>40582</v>
      </c>
      <c r="C130" s="17" t="s">
        <v>993</v>
      </c>
      <c r="D130" s="18" t="s">
        <v>994</v>
      </c>
      <c r="E130" s="19" t="s">
        <v>101</v>
      </c>
      <c r="F130" s="20" t="s">
        <v>96</v>
      </c>
      <c r="G130" s="21">
        <v>456.96</v>
      </c>
      <c r="H130" t="s">
        <v>27</v>
      </c>
    </row>
    <row r="131" spans="1:8" ht="15" x14ac:dyDescent="0.3">
      <c r="A131" s="29"/>
      <c r="B131" s="30"/>
      <c r="C131" s="37"/>
      <c r="D131" s="30"/>
      <c r="E131" s="5"/>
      <c r="F131" s="46" t="s">
        <v>24</v>
      </c>
      <c r="G131" s="36">
        <f>SUM(G130:G130)</f>
        <v>456.96</v>
      </c>
    </row>
    <row r="132" spans="1:8" ht="15" x14ac:dyDescent="0.3">
      <c r="A132" s="29"/>
      <c r="B132" s="30"/>
      <c r="C132" s="37"/>
      <c r="D132" s="30"/>
      <c r="E132" s="5"/>
      <c r="F132" s="55"/>
      <c r="G132" s="56"/>
    </row>
  </sheetData>
  <sheetProtection selectLockedCells="1" selectUnlockedCells="1"/>
  <mergeCells count="14">
    <mergeCell ref="A71:G71"/>
    <mergeCell ref="F123:G123"/>
    <mergeCell ref="A127:G127"/>
    <mergeCell ref="F80:G80"/>
    <mergeCell ref="A84:G84"/>
    <mergeCell ref="A85:G85"/>
    <mergeCell ref="A102:G104"/>
    <mergeCell ref="F106:G106"/>
    <mergeCell ref="A110:G110"/>
    <mergeCell ref="F1:G1"/>
    <mergeCell ref="A5:G5"/>
    <mergeCell ref="F36:G36"/>
    <mergeCell ref="A40:G40"/>
    <mergeCell ref="A68:E68"/>
  </mergeCells>
  <pageMargins left="0.70833333333333337" right="0.70833333333333337" top="0.74791666666666667" bottom="0.74791666666666667" header="0.51180555555555551" footer="0.51180555555555551"/>
  <pageSetup scale="68" firstPageNumber="0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pageSetUpPr fitToPage="1"/>
  </sheetPr>
  <dimension ref="A1:J50"/>
  <sheetViews>
    <sheetView topLeftCell="A16" workbookViewId="0">
      <selection activeCell="A88" sqref="A88"/>
    </sheetView>
  </sheetViews>
  <sheetFormatPr baseColWidth="10" defaultColWidth="10.7109375" defaultRowHeight="12.75" x14ac:dyDescent="0.2"/>
  <cols>
    <col min="1" max="1" width="3.5703125" customWidth="1"/>
    <col min="2" max="2" width="13.28515625" customWidth="1"/>
    <col min="4" max="4" width="13.140625" customWidth="1"/>
    <col min="5" max="5" width="46.28515625" customWidth="1"/>
    <col min="6" max="6" width="39.42578125" customWidth="1"/>
    <col min="7" max="7" width="14.140625" customWidth="1"/>
  </cols>
  <sheetData>
    <row r="1" spans="1:8" ht="15" customHeight="1" x14ac:dyDescent="0.3">
      <c r="A1" s="1"/>
      <c r="B1" s="2"/>
      <c r="C1" s="3"/>
      <c r="D1" s="4"/>
      <c r="E1" s="5"/>
      <c r="F1" s="207" t="s">
        <v>0</v>
      </c>
      <c r="G1" s="207"/>
    </row>
    <row r="2" spans="1:8" ht="18.75" x14ac:dyDescent="0.3">
      <c r="A2" s="7" t="s">
        <v>1</v>
      </c>
      <c r="B2" s="7"/>
      <c r="C2" s="3"/>
      <c r="D2" s="4"/>
      <c r="E2" s="5"/>
      <c r="F2" s="5"/>
      <c r="G2" s="8"/>
    </row>
    <row r="3" spans="1:8" ht="15" x14ac:dyDescent="0.3">
      <c r="A3" s="1"/>
      <c r="B3" s="2"/>
      <c r="C3" s="3"/>
      <c r="D3" s="4"/>
      <c r="E3" s="5"/>
      <c r="F3" s="5"/>
      <c r="G3" s="8"/>
    </row>
    <row r="4" spans="1:8" ht="15" x14ac:dyDescent="0.3">
      <c r="A4" s="1"/>
      <c r="B4" s="2"/>
      <c r="C4" s="3"/>
      <c r="D4" s="4"/>
      <c r="E4" s="5"/>
      <c r="F4" s="5"/>
      <c r="G4" s="8"/>
    </row>
    <row r="5" spans="1:8" ht="18" x14ac:dyDescent="0.25">
      <c r="A5" s="208" t="s">
        <v>995</v>
      </c>
      <c r="B5" s="208"/>
      <c r="C5" s="208"/>
      <c r="D5" s="208"/>
      <c r="E5" s="208"/>
      <c r="F5" s="208"/>
      <c r="G5" s="208"/>
    </row>
    <row r="6" spans="1:8" ht="15" x14ac:dyDescent="0.3">
      <c r="A6" s="1"/>
      <c r="B6" s="9"/>
      <c r="C6" s="9"/>
      <c r="D6" s="9"/>
      <c r="E6" s="9"/>
      <c r="F6" s="10"/>
      <c r="G6" s="11"/>
    </row>
    <row r="7" spans="1:8" x14ac:dyDescent="0.2">
      <c r="A7" s="12" t="s">
        <v>2</v>
      </c>
      <c r="B7" s="12" t="s">
        <v>3</v>
      </c>
      <c r="C7" s="13" t="s">
        <v>4</v>
      </c>
      <c r="D7" s="14" t="s">
        <v>5</v>
      </c>
      <c r="E7" s="13" t="s">
        <v>6</v>
      </c>
      <c r="F7" s="13" t="s">
        <v>7</v>
      </c>
      <c r="G7" s="13" t="s">
        <v>8</v>
      </c>
    </row>
    <row r="8" spans="1:8" ht="30" x14ac:dyDescent="0.3">
      <c r="A8" s="15">
        <v>1</v>
      </c>
      <c r="B8" s="16">
        <v>40599</v>
      </c>
      <c r="C8" s="17" t="s">
        <v>996</v>
      </c>
      <c r="D8" s="18">
        <f>+B8+30</f>
        <v>40629</v>
      </c>
      <c r="E8" s="19" t="s">
        <v>997</v>
      </c>
      <c r="F8" s="20" t="s">
        <v>998</v>
      </c>
      <c r="G8" s="21">
        <v>739.37</v>
      </c>
      <c r="H8" t="s">
        <v>868</v>
      </c>
    </row>
    <row r="9" spans="1:8" ht="30" x14ac:dyDescent="0.3">
      <c r="A9" s="15">
        <v>2</v>
      </c>
      <c r="B9" s="16">
        <v>40613</v>
      </c>
      <c r="C9" s="17" t="s">
        <v>999</v>
      </c>
      <c r="D9" s="18">
        <f>+B9+15</f>
        <v>40628</v>
      </c>
      <c r="E9" s="19" t="s">
        <v>1000</v>
      </c>
      <c r="F9" s="20" t="s">
        <v>1001</v>
      </c>
      <c r="G9" s="21">
        <v>364.62</v>
      </c>
      <c r="H9" t="s">
        <v>868</v>
      </c>
    </row>
    <row r="10" spans="1:8" ht="30" x14ac:dyDescent="0.3">
      <c r="A10" s="15">
        <v>3</v>
      </c>
      <c r="B10" s="16">
        <v>40609</v>
      </c>
      <c r="C10" s="17" t="s">
        <v>1002</v>
      </c>
      <c r="D10" s="18">
        <f>+B10+15</f>
        <v>40624</v>
      </c>
      <c r="E10" s="19" t="s">
        <v>1003</v>
      </c>
      <c r="F10" s="20" t="s">
        <v>1004</v>
      </c>
      <c r="G10" s="21">
        <v>404.74</v>
      </c>
      <c r="H10" t="s">
        <v>868</v>
      </c>
    </row>
    <row r="11" spans="1:8" ht="30" x14ac:dyDescent="0.3">
      <c r="A11" s="15">
        <v>4</v>
      </c>
      <c r="B11" s="16">
        <v>40610</v>
      </c>
      <c r="C11" s="17" t="s">
        <v>1005</v>
      </c>
      <c r="D11" s="18">
        <f>+B11+15</f>
        <v>40625</v>
      </c>
      <c r="E11" s="19" t="s">
        <v>1003</v>
      </c>
      <c r="F11" s="20" t="s">
        <v>1006</v>
      </c>
      <c r="G11" s="21">
        <v>337.48</v>
      </c>
      <c r="H11" t="s">
        <v>868</v>
      </c>
    </row>
    <row r="12" spans="1:8" ht="30" x14ac:dyDescent="0.3">
      <c r="A12" s="15">
        <v>5</v>
      </c>
      <c r="B12" s="16">
        <v>40585</v>
      </c>
      <c r="C12" s="17" t="s">
        <v>1007</v>
      </c>
      <c r="D12" s="18">
        <f>+B12+30</f>
        <v>40615</v>
      </c>
      <c r="E12" s="19" t="s">
        <v>637</v>
      </c>
      <c r="F12" s="20" t="s">
        <v>1008</v>
      </c>
      <c r="G12" s="21">
        <f>581.55-(581.55*0.12)</f>
        <v>511.76399999999995</v>
      </c>
      <c r="H12" t="s">
        <v>868</v>
      </c>
    </row>
    <row r="13" spans="1:8" ht="30" x14ac:dyDescent="0.3">
      <c r="A13" s="15">
        <v>6</v>
      </c>
      <c r="B13" s="16">
        <v>40602</v>
      </c>
      <c r="C13" s="17" t="s">
        <v>1009</v>
      </c>
      <c r="D13" s="18">
        <f>+B13+30</f>
        <v>40632</v>
      </c>
      <c r="E13" s="19" t="s">
        <v>637</v>
      </c>
      <c r="F13" s="20" t="s">
        <v>1010</v>
      </c>
      <c r="G13" s="21">
        <v>892.5</v>
      </c>
      <c r="H13" t="s">
        <v>868</v>
      </c>
    </row>
    <row r="14" spans="1:8" ht="15" x14ac:dyDescent="0.3">
      <c r="A14" s="15">
        <v>7</v>
      </c>
      <c r="B14" s="16">
        <v>40626</v>
      </c>
      <c r="C14" s="17" t="s">
        <v>1011</v>
      </c>
      <c r="D14" s="18">
        <v>40634</v>
      </c>
      <c r="E14" s="19" t="s">
        <v>313</v>
      </c>
      <c r="F14" s="20" t="s">
        <v>1012</v>
      </c>
      <c r="G14" s="21">
        <v>36.46</v>
      </c>
      <c r="H14" t="s">
        <v>868</v>
      </c>
    </row>
    <row r="15" spans="1:8" ht="15" x14ac:dyDescent="0.3">
      <c r="A15" s="15">
        <v>8</v>
      </c>
      <c r="B15" s="16">
        <v>40626</v>
      </c>
      <c r="C15" s="17" t="s">
        <v>1013</v>
      </c>
      <c r="D15" s="18">
        <v>40634</v>
      </c>
      <c r="E15" s="19" t="s">
        <v>313</v>
      </c>
      <c r="F15" s="20" t="s">
        <v>1014</v>
      </c>
      <c r="G15" s="21">
        <v>36.46</v>
      </c>
      <c r="H15" t="s">
        <v>868</v>
      </c>
    </row>
    <row r="16" spans="1:8" ht="30" x14ac:dyDescent="0.3">
      <c r="A16" s="15">
        <v>9</v>
      </c>
      <c r="B16" s="16">
        <v>40616</v>
      </c>
      <c r="C16" s="17" t="s">
        <v>1015</v>
      </c>
      <c r="D16" s="18">
        <f>+B16</f>
        <v>40616</v>
      </c>
      <c r="E16" s="19" t="s">
        <v>318</v>
      </c>
      <c r="F16" s="20" t="s">
        <v>1016</v>
      </c>
      <c r="G16" s="21">
        <v>147.5</v>
      </c>
      <c r="H16" t="s">
        <v>868</v>
      </c>
    </row>
    <row r="17" spans="1:8" ht="30" x14ac:dyDescent="0.3">
      <c r="A17" s="15">
        <v>10</v>
      </c>
      <c r="B17" s="16">
        <v>40575</v>
      </c>
      <c r="C17" s="17" t="s">
        <v>1017</v>
      </c>
      <c r="D17" s="18">
        <f>+B17</f>
        <v>40575</v>
      </c>
      <c r="E17" s="19" t="s">
        <v>14</v>
      </c>
      <c r="F17" s="20" t="s">
        <v>1018</v>
      </c>
      <c r="G17" s="21">
        <v>377.17</v>
      </c>
      <c r="H17" t="s">
        <v>868</v>
      </c>
    </row>
    <row r="18" spans="1:8" ht="30" x14ac:dyDescent="0.3">
      <c r="A18" s="15">
        <v>11</v>
      </c>
      <c r="B18" s="16">
        <v>40575</v>
      </c>
      <c r="C18" s="17" t="s">
        <v>1019</v>
      </c>
      <c r="D18" s="18">
        <f>+B18</f>
        <v>40575</v>
      </c>
      <c r="E18" s="19" t="s">
        <v>14</v>
      </c>
      <c r="F18" s="20" t="s">
        <v>1020</v>
      </c>
      <c r="G18" s="21">
        <v>894.11</v>
      </c>
      <c r="H18" t="s">
        <v>868</v>
      </c>
    </row>
    <row r="19" spans="1:8" ht="15" x14ac:dyDescent="0.2">
      <c r="A19" s="22"/>
      <c r="B19" s="22"/>
      <c r="C19" s="23"/>
      <c r="D19" s="24"/>
      <c r="E19" s="25"/>
      <c r="F19" s="26" t="s">
        <v>24</v>
      </c>
      <c r="G19" s="27">
        <f>SUM(G8:G18)</f>
        <v>4742.174</v>
      </c>
    </row>
    <row r="20" spans="1:8" ht="15" x14ac:dyDescent="0.3">
      <c r="A20" s="1"/>
      <c r="B20" s="28"/>
      <c r="C20" s="1"/>
      <c r="D20" s="1"/>
      <c r="E20" s="1"/>
      <c r="F20" s="5"/>
      <c r="G20" s="11"/>
    </row>
    <row r="21" spans="1:8" x14ac:dyDescent="0.2">
      <c r="B21" s="35"/>
    </row>
    <row r="22" spans="1:8" x14ac:dyDescent="0.2">
      <c r="B22" s="35"/>
    </row>
    <row r="24" spans="1:8" ht="13.5" customHeight="1" x14ac:dyDescent="0.2"/>
    <row r="25" spans="1:8" ht="15" customHeight="1" x14ac:dyDescent="0.3">
      <c r="A25" s="29"/>
      <c r="B25" s="30"/>
      <c r="C25" s="37"/>
      <c r="D25" s="30"/>
      <c r="E25" s="5"/>
      <c r="F25" s="207" t="s">
        <v>0</v>
      </c>
      <c r="G25" s="207"/>
    </row>
    <row r="26" spans="1:8" ht="18.75" x14ac:dyDescent="0.3">
      <c r="A26" s="31" t="s">
        <v>1</v>
      </c>
      <c r="B26" s="29"/>
      <c r="C26" s="37"/>
      <c r="D26" s="30"/>
      <c r="E26" s="5"/>
      <c r="F26" s="29"/>
      <c r="G26" s="29"/>
    </row>
    <row r="27" spans="1:8" ht="15" x14ac:dyDescent="0.3">
      <c r="A27" s="29"/>
      <c r="B27" s="30"/>
      <c r="C27" s="37"/>
      <c r="D27" s="30"/>
      <c r="E27" s="5"/>
      <c r="F27" s="5"/>
      <c r="G27" s="32"/>
    </row>
    <row r="28" spans="1:8" ht="15" x14ac:dyDescent="0.3">
      <c r="A28" s="29"/>
      <c r="B28" s="30"/>
      <c r="C28" s="37"/>
      <c r="D28" s="30"/>
      <c r="E28" s="5"/>
      <c r="F28" s="5"/>
      <c r="G28" s="32"/>
    </row>
    <row r="29" spans="1:8" ht="18" x14ac:dyDescent="0.25">
      <c r="A29" s="208" t="s">
        <v>1021</v>
      </c>
      <c r="B29" s="208"/>
      <c r="C29" s="208"/>
      <c r="D29" s="208"/>
      <c r="E29" s="208"/>
      <c r="F29" s="208"/>
      <c r="G29" s="208"/>
    </row>
    <row r="30" spans="1:8" ht="15" x14ac:dyDescent="0.3">
      <c r="A30" s="29"/>
      <c r="B30" s="9"/>
      <c r="C30" s="9"/>
      <c r="D30" s="9"/>
      <c r="E30" s="9"/>
      <c r="F30" s="10"/>
      <c r="G30" s="11"/>
    </row>
    <row r="31" spans="1:8" x14ac:dyDescent="0.2">
      <c r="A31" s="12" t="s">
        <v>2</v>
      </c>
      <c r="B31" s="12" t="s">
        <v>3</v>
      </c>
      <c r="C31" s="13" t="s">
        <v>4</v>
      </c>
      <c r="D31" s="14" t="s">
        <v>25</v>
      </c>
      <c r="E31" s="13" t="s">
        <v>6</v>
      </c>
      <c r="F31" s="13" t="s">
        <v>7</v>
      </c>
      <c r="G31" s="13" t="s">
        <v>8</v>
      </c>
    </row>
    <row r="32" spans="1:8" ht="30" x14ac:dyDescent="0.3">
      <c r="A32" s="15"/>
      <c r="B32" s="16">
        <v>40609</v>
      </c>
      <c r="C32" s="17" t="s">
        <v>1022</v>
      </c>
      <c r="D32" s="18" t="s">
        <v>1023</v>
      </c>
      <c r="E32" s="19" t="s">
        <v>1024</v>
      </c>
      <c r="F32" s="20" t="s">
        <v>1025</v>
      </c>
      <c r="G32" s="21">
        <v>198.24</v>
      </c>
      <c r="H32" t="s">
        <v>27</v>
      </c>
    </row>
    <row r="33" spans="1:10" ht="30" x14ac:dyDescent="0.3">
      <c r="A33" s="15"/>
      <c r="B33" s="16">
        <v>40620</v>
      </c>
      <c r="C33" s="17" t="s">
        <v>1026</v>
      </c>
      <c r="D33" s="18" t="s">
        <v>1027</v>
      </c>
      <c r="E33" s="19" t="s">
        <v>1028</v>
      </c>
      <c r="F33" s="20" t="s">
        <v>1029</v>
      </c>
      <c r="G33" s="21">
        <v>37.76</v>
      </c>
      <c r="H33" t="s">
        <v>27</v>
      </c>
    </row>
    <row r="34" spans="1:10" ht="30" x14ac:dyDescent="0.3">
      <c r="A34" s="15"/>
      <c r="B34" s="16">
        <v>40620</v>
      </c>
      <c r="C34" s="17" t="s">
        <v>1030</v>
      </c>
      <c r="D34" s="18" t="s">
        <v>1031</v>
      </c>
      <c r="E34" s="19" t="s">
        <v>1032</v>
      </c>
      <c r="F34" s="20" t="s">
        <v>1033</v>
      </c>
      <c r="G34" s="21">
        <v>2596</v>
      </c>
      <c r="H34" t="s">
        <v>27</v>
      </c>
    </row>
    <row r="35" spans="1:10" s="60" customFormat="1" ht="30" x14ac:dyDescent="0.3">
      <c r="A35" s="15">
        <v>13</v>
      </c>
      <c r="B35" s="16">
        <v>40633</v>
      </c>
      <c r="C35" s="17" t="s">
        <v>731</v>
      </c>
      <c r="D35" s="18" t="s">
        <v>1034</v>
      </c>
      <c r="E35" s="19" t="s">
        <v>709</v>
      </c>
      <c r="F35" s="20" t="s">
        <v>1035</v>
      </c>
      <c r="G35" s="21">
        <v>595.55999999999995</v>
      </c>
      <c r="H35" s="60" t="s">
        <v>27</v>
      </c>
    </row>
    <row r="36" spans="1:10" ht="15" x14ac:dyDescent="0.3">
      <c r="A36" s="29"/>
      <c r="B36" s="30"/>
      <c r="C36" s="37"/>
      <c r="D36" s="30"/>
      <c r="E36" s="5"/>
      <c r="F36" s="26" t="s">
        <v>24</v>
      </c>
      <c r="G36" s="27">
        <f>SUM(G32:G35)</f>
        <v>3427.56</v>
      </c>
    </row>
    <row r="37" spans="1:10" ht="15" x14ac:dyDescent="0.3">
      <c r="A37" s="29"/>
      <c r="B37" s="30"/>
      <c r="C37" s="37"/>
      <c r="D37" s="30"/>
      <c r="E37" s="5"/>
      <c r="F37" s="55"/>
      <c r="G37" s="68"/>
    </row>
    <row r="41" spans="1:10" ht="15" customHeight="1" x14ac:dyDescent="0.3">
      <c r="A41" s="1"/>
      <c r="B41" s="37"/>
      <c r="C41" s="37"/>
      <c r="D41" s="37"/>
      <c r="E41" s="47"/>
      <c r="F41" s="212" t="s">
        <v>0</v>
      </c>
      <c r="G41" s="212"/>
    </row>
    <row r="42" spans="1:10" ht="18.75" x14ac:dyDescent="0.3">
      <c r="A42" s="209" t="s">
        <v>1</v>
      </c>
      <c r="B42" s="209"/>
      <c r="C42" s="209"/>
      <c r="D42" s="209"/>
      <c r="E42" s="209"/>
      <c r="F42" s="47"/>
      <c r="G42" s="47"/>
    </row>
    <row r="43" spans="1:10" ht="15" x14ac:dyDescent="0.3">
      <c r="A43" s="1"/>
      <c r="B43" s="37"/>
      <c r="C43" s="37"/>
      <c r="D43" s="37"/>
      <c r="E43" s="47"/>
      <c r="F43" s="47"/>
      <c r="G43" s="48"/>
    </row>
    <row r="44" spans="1:10" ht="15" x14ac:dyDescent="0.3">
      <c r="A44" s="1"/>
      <c r="B44" s="37"/>
      <c r="C44" s="37"/>
      <c r="D44" s="37"/>
      <c r="E44" s="47"/>
      <c r="F44" s="47"/>
      <c r="G44" s="48"/>
    </row>
    <row r="45" spans="1:10" ht="18" x14ac:dyDescent="0.25">
      <c r="A45" s="210" t="s">
        <v>1036</v>
      </c>
      <c r="B45" s="210"/>
      <c r="C45" s="210"/>
      <c r="D45" s="210"/>
      <c r="E45" s="210"/>
      <c r="F45" s="210"/>
      <c r="G45" s="210"/>
    </row>
    <row r="46" spans="1:10" ht="15" x14ac:dyDescent="0.3">
      <c r="A46" s="1"/>
      <c r="B46" s="49"/>
      <c r="C46" s="49"/>
      <c r="D46" s="49"/>
      <c r="E46" s="49"/>
      <c r="F46" s="50"/>
      <c r="G46" s="47"/>
    </row>
    <row r="47" spans="1:10" x14ac:dyDescent="0.2">
      <c r="A47" s="51" t="s">
        <v>2</v>
      </c>
      <c r="B47" s="51" t="s">
        <v>3</v>
      </c>
      <c r="C47" s="51" t="s">
        <v>4</v>
      </c>
      <c r="D47" s="51" t="s">
        <v>5</v>
      </c>
      <c r="E47" s="51" t="s">
        <v>6</v>
      </c>
      <c r="F47" s="51" t="s">
        <v>146</v>
      </c>
      <c r="G47" s="13" t="s">
        <v>8</v>
      </c>
    </row>
    <row r="48" spans="1:10" ht="30" x14ac:dyDescent="0.3">
      <c r="A48" s="52">
        <v>1</v>
      </c>
      <c r="B48" s="53">
        <v>40593</v>
      </c>
      <c r="C48" s="17" t="s">
        <v>1037</v>
      </c>
      <c r="D48" s="54">
        <f>+B48+45</f>
        <v>40638</v>
      </c>
      <c r="E48" s="19" t="s">
        <v>523</v>
      </c>
      <c r="F48" s="20" t="s">
        <v>149</v>
      </c>
      <c r="G48" s="21">
        <v>2294.08</v>
      </c>
      <c r="H48" t="s">
        <v>1038</v>
      </c>
      <c r="J48" t="s">
        <v>27</v>
      </c>
    </row>
    <row r="49" spans="1:10" ht="30" x14ac:dyDescent="0.3">
      <c r="A49" s="52">
        <v>2</v>
      </c>
      <c r="B49" s="53">
        <v>40578</v>
      </c>
      <c r="C49" s="17" t="s">
        <v>1039</v>
      </c>
      <c r="D49" s="54">
        <f>+B49+60</f>
        <v>40638</v>
      </c>
      <c r="E49" s="19" t="s">
        <v>511</v>
      </c>
      <c r="F49" s="20" t="s">
        <v>306</v>
      </c>
      <c r="G49" s="21">
        <v>2323.1</v>
      </c>
      <c r="H49" t="s">
        <v>1040</v>
      </c>
      <c r="J49" t="s">
        <v>27</v>
      </c>
    </row>
    <row r="50" spans="1:10" ht="15" x14ac:dyDescent="0.3">
      <c r="A50" s="1"/>
      <c r="B50" s="37"/>
      <c r="C50" s="37"/>
      <c r="D50" s="37"/>
      <c r="E50" s="47"/>
      <c r="F50" s="51" t="s">
        <v>155</v>
      </c>
      <c r="G50" s="27">
        <f>SUM(G48:G49)</f>
        <v>4617.18</v>
      </c>
    </row>
  </sheetData>
  <sheetProtection selectLockedCells="1" selectUnlockedCells="1"/>
  <mergeCells count="7">
    <mergeCell ref="A45:G45"/>
    <mergeCell ref="F1:G1"/>
    <mergeCell ref="A5:G5"/>
    <mergeCell ref="F25:G25"/>
    <mergeCell ref="A29:G29"/>
    <mergeCell ref="F41:G41"/>
    <mergeCell ref="A42:E42"/>
  </mergeCells>
  <pageMargins left="0.70833333333333337" right="0.70833333333333337" top="0.74791666666666667" bottom="0.74791666666666667" header="0.51180555555555551" footer="0.51180555555555551"/>
  <pageSetup scale="65" firstPageNumber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3">
    <pageSetUpPr fitToPage="1"/>
  </sheetPr>
  <dimension ref="A1:J119"/>
  <sheetViews>
    <sheetView workbookViewId="0">
      <selection activeCell="A88" sqref="A88"/>
    </sheetView>
  </sheetViews>
  <sheetFormatPr baseColWidth="10" defaultColWidth="10.7109375" defaultRowHeight="12.75" x14ac:dyDescent="0.2"/>
  <cols>
    <col min="1" max="1" width="4.7109375" customWidth="1"/>
    <col min="2" max="2" width="12.28515625" customWidth="1"/>
    <col min="3" max="3" width="16.28515625" customWidth="1"/>
    <col min="4" max="4" width="13.42578125" customWidth="1"/>
    <col min="5" max="5" width="50.140625" customWidth="1"/>
    <col min="6" max="6" width="37.140625" customWidth="1"/>
    <col min="7" max="7" width="14.42578125" customWidth="1"/>
    <col min="8" max="8" width="12" customWidth="1"/>
  </cols>
  <sheetData>
    <row r="1" spans="1:7" ht="15" customHeight="1" x14ac:dyDescent="0.3">
      <c r="A1" s="1"/>
      <c r="B1" s="2"/>
      <c r="C1" s="3"/>
      <c r="D1" s="4"/>
      <c r="E1" s="5"/>
      <c r="F1" s="207" t="s">
        <v>0</v>
      </c>
      <c r="G1" s="207"/>
    </row>
    <row r="2" spans="1:7" ht="18.75" x14ac:dyDescent="0.3">
      <c r="A2" s="7" t="s">
        <v>1</v>
      </c>
      <c r="B2" s="7"/>
      <c r="C2" s="3"/>
      <c r="D2" s="4"/>
      <c r="E2" s="5"/>
      <c r="F2" s="5"/>
      <c r="G2" s="8"/>
    </row>
    <row r="3" spans="1:7" ht="15" x14ac:dyDescent="0.3">
      <c r="A3" s="1"/>
      <c r="B3" s="2"/>
      <c r="C3" s="3"/>
      <c r="D3" s="4"/>
      <c r="E3" s="5"/>
      <c r="F3" s="5"/>
      <c r="G3" s="8"/>
    </row>
    <row r="4" spans="1:7" ht="15" x14ac:dyDescent="0.3">
      <c r="A4" s="1"/>
      <c r="B4" s="2"/>
      <c r="C4" s="3"/>
      <c r="D4" s="4"/>
      <c r="E4" s="5"/>
      <c r="F4" s="5"/>
      <c r="G4" s="8"/>
    </row>
    <row r="5" spans="1:7" ht="18" x14ac:dyDescent="0.25">
      <c r="A5" s="208" t="s">
        <v>1041</v>
      </c>
      <c r="B5" s="208"/>
      <c r="C5" s="208"/>
      <c r="D5" s="208"/>
      <c r="E5" s="208"/>
      <c r="F5" s="208"/>
      <c r="G5" s="208"/>
    </row>
    <row r="6" spans="1:7" ht="15" x14ac:dyDescent="0.3">
      <c r="A6" s="1"/>
      <c r="B6" s="9"/>
      <c r="C6" s="9"/>
      <c r="D6" s="9"/>
      <c r="E6" s="9"/>
      <c r="F6" s="10"/>
      <c r="G6" s="11"/>
    </row>
    <row r="7" spans="1:7" x14ac:dyDescent="0.2">
      <c r="A7" s="12" t="s">
        <v>2</v>
      </c>
      <c r="B7" s="12" t="s">
        <v>3</v>
      </c>
      <c r="C7" s="13" t="s">
        <v>4</v>
      </c>
      <c r="D7" s="14" t="s">
        <v>5</v>
      </c>
      <c r="E7" s="13" t="s">
        <v>6</v>
      </c>
      <c r="F7" s="13" t="s">
        <v>7</v>
      </c>
      <c r="G7" s="13" t="s">
        <v>32</v>
      </c>
    </row>
    <row r="8" spans="1:7" ht="15" x14ac:dyDescent="0.3">
      <c r="A8" s="15">
        <v>1</v>
      </c>
      <c r="B8" s="16">
        <v>40605</v>
      </c>
      <c r="C8" s="17" t="s">
        <v>1042</v>
      </c>
      <c r="D8" s="18">
        <f>+B8+30</f>
        <v>40635</v>
      </c>
      <c r="E8" s="19" t="s">
        <v>40</v>
      </c>
      <c r="F8" s="19" t="s">
        <v>1043</v>
      </c>
      <c r="G8" s="21">
        <v>153.4</v>
      </c>
    </row>
    <row r="9" spans="1:7" ht="15" x14ac:dyDescent="0.3">
      <c r="A9" s="15">
        <v>2</v>
      </c>
      <c r="B9" s="16">
        <v>40618</v>
      </c>
      <c r="C9" s="17" t="s">
        <v>1044</v>
      </c>
      <c r="D9" s="18">
        <f>+B9+7</f>
        <v>40625</v>
      </c>
      <c r="E9" s="19" t="s">
        <v>88</v>
      </c>
      <c r="F9" s="19" t="s">
        <v>89</v>
      </c>
      <c r="G9" s="21">
        <v>17526.78</v>
      </c>
    </row>
    <row r="10" spans="1:7" ht="15" x14ac:dyDescent="0.3">
      <c r="A10" s="15">
        <v>4</v>
      </c>
      <c r="B10" s="16">
        <v>40606</v>
      </c>
      <c r="C10" s="17" t="s">
        <v>1045</v>
      </c>
      <c r="D10" s="18">
        <f>+B10+7</f>
        <v>40613</v>
      </c>
      <c r="E10" s="19" t="s">
        <v>1046</v>
      </c>
      <c r="F10" s="20" t="s">
        <v>1047</v>
      </c>
      <c r="G10" s="21">
        <v>90</v>
      </c>
    </row>
    <row r="11" spans="1:7" ht="15" x14ac:dyDescent="0.2">
      <c r="A11" s="22"/>
      <c r="B11" s="22"/>
      <c r="C11" s="23"/>
      <c r="D11" s="24"/>
      <c r="E11" s="25"/>
      <c r="F11" s="26" t="s">
        <v>24</v>
      </c>
      <c r="G11" s="36">
        <f>SUM(G8:G10)</f>
        <v>17770.18</v>
      </c>
    </row>
    <row r="12" spans="1:7" x14ac:dyDescent="0.2">
      <c r="B12" s="35"/>
    </row>
    <row r="13" spans="1:7" x14ac:dyDescent="0.2">
      <c r="B13" s="35"/>
    </row>
    <row r="15" spans="1:7" ht="15" customHeight="1" x14ac:dyDescent="0.3">
      <c r="A15" s="29"/>
      <c r="B15" s="30"/>
      <c r="C15" s="37"/>
      <c r="D15" s="30"/>
      <c r="E15" s="5"/>
      <c r="F15" s="207" t="s">
        <v>0</v>
      </c>
      <c r="G15" s="207"/>
    </row>
    <row r="16" spans="1:7" ht="18.75" x14ac:dyDescent="0.3">
      <c r="A16" s="31" t="s">
        <v>1</v>
      </c>
      <c r="B16" s="29"/>
      <c r="C16" s="37"/>
      <c r="D16" s="30"/>
      <c r="E16" s="5"/>
      <c r="F16" s="29"/>
      <c r="G16" s="29"/>
    </row>
    <row r="17" spans="1:10" ht="15" x14ac:dyDescent="0.3">
      <c r="A17" s="29"/>
      <c r="B17" s="30"/>
      <c r="C17" s="37"/>
      <c r="D17" s="30"/>
      <c r="E17" s="5"/>
      <c r="F17" s="5"/>
      <c r="G17" s="32"/>
    </row>
    <row r="18" spans="1:10" ht="15" x14ac:dyDescent="0.3">
      <c r="A18" s="29"/>
      <c r="B18" s="30"/>
      <c r="C18" s="37"/>
      <c r="D18" s="30"/>
      <c r="E18" s="5"/>
      <c r="F18" s="5"/>
      <c r="G18" s="32"/>
    </row>
    <row r="19" spans="1:10" ht="18" x14ac:dyDescent="0.25">
      <c r="A19" s="208" t="s">
        <v>1048</v>
      </c>
      <c r="B19" s="208"/>
      <c r="C19" s="208"/>
      <c r="D19" s="208"/>
      <c r="E19" s="208"/>
      <c r="F19" s="208"/>
      <c r="G19" s="208"/>
    </row>
    <row r="20" spans="1:10" ht="15" x14ac:dyDescent="0.3">
      <c r="A20" s="29"/>
      <c r="B20" s="9"/>
      <c r="C20" s="9"/>
      <c r="D20" s="9"/>
      <c r="E20" s="9"/>
      <c r="F20" s="10"/>
      <c r="G20" s="11"/>
    </row>
    <row r="21" spans="1:10" x14ac:dyDescent="0.2">
      <c r="A21" s="12" t="s">
        <v>2</v>
      </c>
      <c r="B21" s="12" t="s">
        <v>3</v>
      </c>
      <c r="C21" s="13" t="s">
        <v>4</v>
      </c>
      <c r="D21" s="14" t="s">
        <v>25</v>
      </c>
      <c r="E21" s="13" t="s">
        <v>6</v>
      </c>
      <c r="F21" s="13" t="s">
        <v>7</v>
      </c>
      <c r="G21" s="13" t="s">
        <v>32</v>
      </c>
    </row>
    <row r="22" spans="1:10" ht="30" x14ac:dyDescent="0.3">
      <c r="A22" s="15">
        <v>1</v>
      </c>
      <c r="B22" s="16">
        <v>40641</v>
      </c>
      <c r="C22" s="17" t="s">
        <v>1049</v>
      </c>
      <c r="D22" s="18" t="s">
        <v>1050</v>
      </c>
      <c r="E22" s="19" t="s">
        <v>131</v>
      </c>
      <c r="F22" s="20" t="s">
        <v>1051</v>
      </c>
      <c r="G22" s="21">
        <v>748.5</v>
      </c>
      <c r="H22" s="44" t="s">
        <v>27</v>
      </c>
    </row>
    <row r="23" spans="1:10" ht="30" x14ac:dyDescent="0.3">
      <c r="A23" s="15">
        <v>2</v>
      </c>
      <c r="B23" s="16">
        <v>40603</v>
      </c>
      <c r="C23" s="17" t="s">
        <v>1052</v>
      </c>
      <c r="D23" s="18" t="s">
        <v>1053</v>
      </c>
      <c r="E23" s="19" t="s">
        <v>412</v>
      </c>
      <c r="F23" s="20" t="s">
        <v>819</v>
      </c>
      <c r="G23" s="21">
        <v>755.2</v>
      </c>
      <c r="H23" s="44" t="s">
        <v>27</v>
      </c>
    </row>
    <row r="24" spans="1:10" ht="15" x14ac:dyDescent="0.3">
      <c r="A24" s="15">
        <v>3</v>
      </c>
      <c r="B24" s="16">
        <v>40633</v>
      </c>
      <c r="C24" s="17" t="s">
        <v>1054</v>
      </c>
      <c r="D24" s="18" t="s">
        <v>1055</v>
      </c>
      <c r="E24" s="19" t="s">
        <v>913</v>
      </c>
      <c r="F24" s="20" t="s">
        <v>1056</v>
      </c>
      <c r="G24" s="21">
        <v>147.5</v>
      </c>
      <c r="H24" s="44" t="s">
        <v>27</v>
      </c>
    </row>
    <row r="25" spans="1:10" ht="15" x14ac:dyDescent="0.3">
      <c r="A25" s="15">
        <v>4</v>
      </c>
      <c r="B25" s="16">
        <v>40601</v>
      </c>
      <c r="C25" s="17" t="s">
        <v>1057</v>
      </c>
      <c r="D25" s="18" t="s">
        <v>1058</v>
      </c>
      <c r="E25" s="19" t="s">
        <v>1059</v>
      </c>
      <c r="F25" s="20" t="s">
        <v>96</v>
      </c>
      <c r="G25" s="21">
        <v>214.2</v>
      </c>
      <c r="H25" s="44" t="s">
        <v>27</v>
      </c>
    </row>
    <row r="26" spans="1:10" ht="30" x14ac:dyDescent="0.3">
      <c r="A26" s="15">
        <v>5</v>
      </c>
      <c r="B26" s="16">
        <v>40639</v>
      </c>
      <c r="C26" s="17" t="s">
        <v>1060</v>
      </c>
      <c r="D26" s="18" t="s">
        <v>1061</v>
      </c>
      <c r="E26" s="19" t="s">
        <v>1062</v>
      </c>
      <c r="F26" s="20" t="s">
        <v>1063</v>
      </c>
      <c r="G26" s="21">
        <v>398.32</v>
      </c>
      <c r="H26" s="44" t="s">
        <v>27</v>
      </c>
    </row>
    <row r="27" spans="1:10" ht="30" x14ac:dyDescent="0.3">
      <c r="A27" s="15">
        <v>6</v>
      </c>
      <c r="B27" s="16">
        <v>40639</v>
      </c>
      <c r="C27" s="17" t="s">
        <v>1060</v>
      </c>
      <c r="D27" s="18" t="s">
        <v>1064</v>
      </c>
      <c r="E27" s="19" t="s">
        <v>1062</v>
      </c>
      <c r="F27" s="20" t="s">
        <v>1065</v>
      </c>
      <c r="G27" s="21">
        <v>745</v>
      </c>
      <c r="H27" s="44" t="s">
        <v>27</v>
      </c>
    </row>
    <row r="28" spans="1:10" ht="15" x14ac:dyDescent="0.3">
      <c r="A28" s="15">
        <v>7</v>
      </c>
      <c r="B28" s="16">
        <v>40639</v>
      </c>
      <c r="C28" s="17" t="s">
        <v>1066</v>
      </c>
      <c r="D28" s="18" t="s">
        <v>1067</v>
      </c>
      <c r="E28" s="19" t="s">
        <v>1068</v>
      </c>
      <c r="F28" s="20" t="s">
        <v>1069</v>
      </c>
      <c r="G28" s="21">
        <v>5827.51</v>
      </c>
      <c r="H28" s="44" t="s">
        <v>27</v>
      </c>
    </row>
    <row r="29" spans="1:10" ht="30" x14ac:dyDescent="0.3">
      <c r="A29" s="15">
        <v>8</v>
      </c>
      <c r="B29" s="16">
        <v>40640</v>
      </c>
      <c r="C29" s="17" t="s">
        <v>1070</v>
      </c>
      <c r="D29" s="18" t="s">
        <v>1071</v>
      </c>
      <c r="E29" s="19" t="s">
        <v>260</v>
      </c>
      <c r="F29" s="20" t="s">
        <v>1072</v>
      </c>
      <c r="G29" s="21">
        <v>4205.53</v>
      </c>
      <c r="H29" s="44" t="s">
        <v>1073</v>
      </c>
    </row>
    <row r="30" spans="1:10" ht="15" x14ac:dyDescent="0.3">
      <c r="A30" s="29"/>
      <c r="B30" s="30"/>
      <c r="C30" s="37"/>
      <c r="D30" s="30"/>
      <c r="E30" s="5"/>
      <c r="F30" s="46" t="s">
        <v>24</v>
      </c>
      <c r="G30" s="36">
        <f>SUM(G22:G29)</f>
        <v>13041.759999999998</v>
      </c>
      <c r="J30" s="35"/>
    </row>
    <row r="31" spans="1:10" ht="15" x14ac:dyDescent="0.3">
      <c r="A31" s="29"/>
      <c r="B31" s="30"/>
      <c r="C31" s="37"/>
      <c r="D31" s="30"/>
      <c r="E31" s="5"/>
      <c r="F31" s="55"/>
      <c r="G31" s="56"/>
    </row>
    <row r="32" spans="1:10" ht="15" x14ac:dyDescent="0.3">
      <c r="A32" s="29"/>
      <c r="B32" s="30"/>
      <c r="C32" s="37"/>
      <c r="D32" s="30"/>
      <c r="E32" s="5"/>
      <c r="F32" s="55"/>
      <c r="G32" s="56"/>
    </row>
    <row r="33" spans="1:8" ht="15" x14ac:dyDescent="0.3">
      <c r="A33" s="29"/>
      <c r="B33" s="30"/>
      <c r="C33" s="37"/>
      <c r="D33" s="30"/>
      <c r="E33" s="5"/>
      <c r="F33" s="55"/>
      <c r="G33" s="56"/>
    </row>
    <row r="34" spans="1:8" x14ac:dyDescent="0.2">
      <c r="B34" s="35"/>
    </row>
    <row r="35" spans="1:8" ht="18.75" x14ac:dyDescent="0.3">
      <c r="A35" s="209" t="s">
        <v>1</v>
      </c>
      <c r="B35" s="209"/>
      <c r="C35" s="209"/>
      <c r="D35" s="209"/>
      <c r="E35" s="209"/>
      <c r="F35" s="47"/>
      <c r="G35" s="47"/>
    </row>
    <row r="36" spans="1:8" ht="15" x14ac:dyDescent="0.3">
      <c r="A36" s="1"/>
      <c r="B36" s="37"/>
      <c r="C36" s="37"/>
      <c r="D36" s="37"/>
      <c r="E36" s="47"/>
      <c r="F36" s="47"/>
      <c r="G36" s="48"/>
    </row>
    <row r="37" spans="1:8" ht="15" x14ac:dyDescent="0.3">
      <c r="A37" s="1"/>
      <c r="B37" s="37"/>
      <c r="C37" s="37"/>
      <c r="D37" s="37"/>
      <c r="E37" s="47"/>
      <c r="F37" s="47"/>
      <c r="G37" s="48"/>
    </row>
    <row r="38" spans="1:8" ht="18" x14ac:dyDescent="0.25">
      <c r="A38" s="210" t="s">
        <v>1074</v>
      </c>
      <c r="B38" s="210"/>
      <c r="C38" s="210"/>
      <c r="D38" s="210"/>
      <c r="E38" s="210"/>
      <c r="F38" s="210"/>
      <c r="G38" s="210"/>
    </row>
    <row r="39" spans="1:8" ht="15" x14ac:dyDescent="0.3">
      <c r="A39" s="1"/>
      <c r="B39" s="49"/>
      <c r="C39" s="49"/>
      <c r="D39" s="49"/>
      <c r="E39" s="49"/>
      <c r="F39" s="50"/>
      <c r="G39" s="47"/>
    </row>
    <row r="40" spans="1:8" x14ac:dyDescent="0.2">
      <c r="A40" s="51" t="s">
        <v>2</v>
      </c>
      <c r="B40" s="51" t="s">
        <v>3</v>
      </c>
      <c r="C40" s="51" t="s">
        <v>4</v>
      </c>
      <c r="D40" s="51" t="s">
        <v>5</v>
      </c>
      <c r="E40" s="51" t="s">
        <v>6</v>
      </c>
      <c r="F40" s="51" t="s">
        <v>146</v>
      </c>
      <c r="G40" s="13" t="s">
        <v>32</v>
      </c>
    </row>
    <row r="41" spans="1:8" ht="15" x14ac:dyDescent="0.3">
      <c r="A41" s="52">
        <v>1</v>
      </c>
      <c r="B41" s="53">
        <v>40599</v>
      </c>
      <c r="C41" s="17" t="s">
        <v>1075</v>
      </c>
      <c r="D41" s="54">
        <f>+B41+45</f>
        <v>40644</v>
      </c>
      <c r="E41" s="19" t="s">
        <v>563</v>
      </c>
      <c r="F41" s="20" t="s">
        <v>149</v>
      </c>
      <c r="G41" s="21">
        <v>1174.17</v>
      </c>
      <c r="H41" s="1" t="s">
        <v>1076</v>
      </c>
    </row>
    <row r="42" spans="1:8" ht="15" x14ac:dyDescent="0.3">
      <c r="A42" s="1"/>
      <c r="B42" s="37"/>
      <c r="C42" s="37"/>
      <c r="D42" s="37"/>
      <c r="E42" s="47"/>
      <c r="F42" s="51" t="s">
        <v>155</v>
      </c>
      <c r="G42" s="36">
        <f>SUM(G41:G41)</f>
        <v>1174.17</v>
      </c>
    </row>
    <row r="43" spans="1:8" ht="15" x14ac:dyDescent="0.3">
      <c r="A43" s="1"/>
      <c r="B43" s="37"/>
      <c r="C43" s="37"/>
      <c r="D43" s="37"/>
      <c r="E43" s="47"/>
      <c r="F43" s="81"/>
      <c r="G43" s="56"/>
    </row>
    <row r="44" spans="1:8" ht="15" x14ac:dyDescent="0.3">
      <c r="A44" s="1"/>
      <c r="B44" s="37"/>
      <c r="C44" s="37"/>
      <c r="D44" s="37"/>
      <c r="E44" s="47"/>
      <c r="F44" s="81"/>
      <c r="G44" s="56"/>
    </row>
    <row r="45" spans="1:8" ht="15" x14ac:dyDescent="0.3">
      <c r="A45" s="29"/>
      <c r="B45" s="30"/>
      <c r="C45" s="37"/>
      <c r="D45" s="30"/>
      <c r="E45" s="5"/>
      <c r="F45" s="55"/>
      <c r="G45" s="56"/>
    </row>
    <row r="46" spans="1:8" ht="15" customHeight="1" x14ac:dyDescent="0.3">
      <c r="A46" s="29"/>
      <c r="B46" s="30"/>
      <c r="C46" s="37"/>
      <c r="D46" s="30"/>
      <c r="E46" s="5"/>
      <c r="F46" s="207" t="s">
        <v>0</v>
      </c>
      <c r="G46" s="207"/>
    </row>
    <row r="47" spans="1:8" ht="18.75" x14ac:dyDescent="0.3">
      <c r="A47" s="31" t="s">
        <v>1</v>
      </c>
      <c r="B47" s="29"/>
      <c r="C47" s="37"/>
      <c r="D47" s="30"/>
      <c r="E47" s="5"/>
      <c r="F47" s="29"/>
      <c r="G47" s="29"/>
    </row>
    <row r="48" spans="1:8" ht="15" x14ac:dyDescent="0.3">
      <c r="A48" s="29"/>
      <c r="B48" s="30"/>
      <c r="C48" s="37"/>
      <c r="D48" s="30"/>
      <c r="E48" s="5"/>
      <c r="F48" s="5"/>
      <c r="G48" s="32"/>
    </row>
    <row r="49" spans="1:9" ht="15" x14ac:dyDescent="0.3">
      <c r="A49" s="29"/>
      <c r="B49" s="30"/>
      <c r="C49" s="37"/>
      <c r="D49" s="30"/>
      <c r="E49" s="5"/>
      <c r="F49" s="5"/>
      <c r="G49" s="32"/>
    </row>
    <row r="50" spans="1:9" ht="18" x14ac:dyDescent="0.25">
      <c r="A50" s="208" t="s">
        <v>1077</v>
      </c>
      <c r="B50" s="208"/>
      <c r="C50" s="208"/>
      <c r="D50" s="208"/>
      <c r="E50" s="208"/>
      <c r="F50" s="208"/>
      <c r="G50" s="208"/>
    </row>
    <row r="51" spans="1:9" ht="18" x14ac:dyDescent="0.25">
      <c r="A51" s="208" t="s">
        <v>157</v>
      </c>
      <c r="B51" s="208"/>
      <c r="C51" s="208"/>
      <c r="D51" s="208"/>
      <c r="E51" s="208"/>
      <c r="F51" s="208"/>
      <c r="G51" s="208"/>
    </row>
    <row r="52" spans="1:9" ht="15" x14ac:dyDescent="0.3">
      <c r="A52" s="29"/>
      <c r="B52" s="9"/>
      <c r="C52" s="9"/>
      <c r="D52" s="9"/>
      <c r="E52" s="9"/>
      <c r="F52" s="10"/>
      <c r="G52" s="11"/>
    </row>
    <row r="53" spans="1:9" x14ac:dyDescent="0.2">
      <c r="A53" s="12" t="s">
        <v>2</v>
      </c>
      <c r="B53" s="12" t="s">
        <v>3</v>
      </c>
      <c r="C53" s="13" t="s">
        <v>4</v>
      </c>
      <c r="D53" s="14" t="s">
        <v>25</v>
      </c>
      <c r="E53" s="13" t="s">
        <v>6</v>
      </c>
      <c r="F53" s="13" t="s">
        <v>7</v>
      </c>
      <c r="G53" s="13" t="s">
        <v>32</v>
      </c>
      <c r="H53" s="13" t="s">
        <v>8</v>
      </c>
    </row>
    <row r="54" spans="1:9" ht="30" x14ac:dyDescent="0.3">
      <c r="A54" s="15">
        <v>1</v>
      </c>
      <c r="B54" s="16">
        <v>40638</v>
      </c>
      <c r="C54" s="17" t="s">
        <v>1066</v>
      </c>
      <c r="D54" s="18" t="s">
        <v>1078</v>
      </c>
      <c r="E54" s="19" t="s">
        <v>296</v>
      </c>
      <c r="F54" s="20" t="s">
        <v>1079</v>
      </c>
      <c r="G54" s="21"/>
      <c r="H54" s="21">
        <v>2030</v>
      </c>
      <c r="I54" s="45" t="s">
        <v>27</v>
      </c>
    </row>
    <row r="55" spans="1:9" ht="30" x14ac:dyDescent="0.3">
      <c r="A55" s="15">
        <v>2</v>
      </c>
      <c r="B55" s="16">
        <v>40638</v>
      </c>
      <c r="C55" s="17" t="s">
        <v>1066</v>
      </c>
      <c r="D55" s="18" t="s">
        <v>1080</v>
      </c>
      <c r="E55" s="19" t="s">
        <v>296</v>
      </c>
      <c r="F55" s="20" t="s">
        <v>1079</v>
      </c>
      <c r="G55" s="21">
        <v>134.52000000000001</v>
      </c>
      <c r="H55" s="21"/>
      <c r="I55" s="59" t="s">
        <v>27</v>
      </c>
    </row>
    <row r="56" spans="1:9" ht="30" x14ac:dyDescent="0.3">
      <c r="A56" s="15">
        <v>3</v>
      </c>
      <c r="B56" s="16">
        <v>40638</v>
      </c>
      <c r="C56" s="17" t="s">
        <v>1066</v>
      </c>
      <c r="D56" s="18" t="s">
        <v>1081</v>
      </c>
      <c r="E56" s="19" t="s">
        <v>160</v>
      </c>
      <c r="F56" s="20" t="s">
        <v>1082</v>
      </c>
      <c r="G56" s="21">
        <v>10096</v>
      </c>
      <c r="H56" s="21"/>
      <c r="I56" s="45" t="s">
        <v>27</v>
      </c>
    </row>
    <row r="57" spans="1:9" ht="30" x14ac:dyDescent="0.3">
      <c r="A57" s="15">
        <v>4</v>
      </c>
      <c r="B57" s="16">
        <v>40638</v>
      </c>
      <c r="C57" s="17" t="s">
        <v>1066</v>
      </c>
      <c r="D57" s="18" t="s">
        <v>1083</v>
      </c>
      <c r="E57" s="19" t="s">
        <v>160</v>
      </c>
      <c r="F57" s="20" t="s">
        <v>1082</v>
      </c>
      <c r="G57" s="21">
        <v>2300</v>
      </c>
      <c r="H57" s="21"/>
      <c r="I57" s="45" t="s">
        <v>27</v>
      </c>
    </row>
    <row r="58" spans="1:9" ht="30" x14ac:dyDescent="0.3">
      <c r="A58" s="15">
        <v>5</v>
      </c>
      <c r="B58" s="16">
        <v>40638</v>
      </c>
      <c r="C58" s="17" t="s">
        <v>1066</v>
      </c>
      <c r="D58" s="18" t="s">
        <v>1084</v>
      </c>
      <c r="E58" s="19" t="s">
        <v>160</v>
      </c>
      <c r="F58" s="20" t="s">
        <v>1085</v>
      </c>
      <c r="G58" s="21">
        <v>7950</v>
      </c>
      <c r="H58" s="21"/>
      <c r="I58" s="45" t="s">
        <v>27</v>
      </c>
    </row>
    <row r="59" spans="1:9" ht="30" x14ac:dyDescent="0.3">
      <c r="A59" s="15">
        <v>6</v>
      </c>
      <c r="B59" s="16">
        <v>40638</v>
      </c>
      <c r="C59" s="17" t="s">
        <v>1066</v>
      </c>
      <c r="D59" s="18" t="s">
        <v>1086</v>
      </c>
      <c r="E59" s="19" t="s">
        <v>160</v>
      </c>
      <c r="F59" s="20" t="s">
        <v>1085</v>
      </c>
      <c r="G59" s="21">
        <v>7950</v>
      </c>
      <c r="H59" s="21"/>
      <c r="I59" s="45" t="s">
        <v>27</v>
      </c>
    </row>
    <row r="60" spans="1:9" ht="30" x14ac:dyDescent="0.3">
      <c r="A60" s="15">
        <v>7</v>
      </c>
      <c r="B60" s="16">
        <v>40638</v>
      </c>
      <c r="C60" s="17" t="s">
        <v>1066</v>
      </c>
      <c r="D60" s="18" t="s">
        <v>1087</v>
      </c>
      <c r="E60" s="19" t="s">
        <v>160</v>
      </c>
      <c r="F60" s="20" t="s">
        <v>1085</v>
      </c>
      <c r="G60" s="21">
        <v>7957</v>
      </c>
      <c r="H60" s="21"/>
      <c r="I60" s="45" t="s">
        <v>27</v>
      </c>
    </row>
    <row r="61" spans="1:9" ht="30" x14ac:dyDescent="0.3">
      <c r="A61" s="15">
        <v>8</v>
      </c>
      <c r="B61" s="16">
        <v>40638</v>
      </c>
      <c r="C61" s="17" t="s">
        <v>1066</v>
      </c>
      <c r="D61" s="18" t="s">
        <v>1088</v>
      </c>
      <c r="E61" s="19" t="s">
        <v>160</v>
      </c>
      <c r="F61" s="20" t="s">
        <v>1085</v>
      </c>
      <c r="G61" s="21">
        <v>4148</v>
      </c>
      <c r="H61" s="21"/>
      <c r="I61" s="45" t="s">
        <v>27</v>
      </c>
    </row>
    <row r="62" spans="1:9" ht="15" x14ac:dyDescent="0.3">
      <c r="A62" s="29"/>
      <c r="B62" s="30"/>
      <c r="C62" s="37"/>
      <c r="D62" s="30"/>
      <c r="E62" s="5"/>
      <c r="F62" s="46" t="s">
        <v>24</v>
      </c>
      <c r="G62" s="36">
        <f>SUM(G55:G57)</f>
        <v>12530.52</v>
      </c>
      <c r="H62" s="27">
        <f>SUM(H54:H57)</f>
        <v>2030</v>
      </c>
    </row>
    <row r="66" spans="1:9" x14ac:dyDescent="0.2">
      <c r="A66" s="211" t="s">
        <v>609</v>
      </c>
      <c r="B66" s="211"/>
      <c r="C66" s="211"/>
      <c r="D66" s="211"/>
      <c r="E66" s="211"/>
      <c r="F66" s="211"/>
      <c r="G66" s="211"/>
    </row>
    <row r="67" spans="1:9" x14ac:dyDescent="0.2">
      <c r="A67" s="211"/>
      <c r="B67" s="211"/>
      <c r="C67" s="211"/>
      <c r="D67" s="211"/>
      <c r="E67" s="211"/>
      <c r="F67" s="211"/>
      <c r="G67" s="211"/>
    </row>
    <row r="68" spans="1:9" x14ac:dyDescent="0.2">
      <c r="A68" s="211"/>
      <c r="B68" s="211"/>
      <c r="C68" s="211"/>
      <c r="D68" s="211"/>
      <c r="E68" s="211"/>
      <c r="F68" s="211"/>
      <c r="G68" s="211"/>
    </row>
    <row r="69" spans="1:9" x14ac:dyDescent="0.2">
      <c r="B69" s="35"/>
    </row>
    <row r="70" spans="1:9" ht="15" customHeight="1" x14ac:dyDescent="0.3">
      <c r="A70" s="1"/>
      <c r="B70" s="2"/>
      <c r="C70" s="3"/>
      <c r="D70" s="4"/>
      <c r="E70" s="5"/>
      <c r="F70" s="207" t="s">
        <v>0</v>
      </c>
      <c r="G70" s="207"/>
    </row>
    <row r="71" spans="1:9" ht="18.75" x14ac:dyDescent="0.3">
      <c r="A71" s="7" t="s">
        <v>1</v>
      </c>
      <c r="B71" s="7"/>
      <c r="C71" s="3"/>
      <c r="D71" s="4"/>
      <c r="E71" s="5"/>
      <c r="F71" s="5"/>
      <c r="G71" s="8"/>
    </row>
    <row r="72" spans="1:9" ht="15" x14ac:dyDescent="0.3">
      <c r="A72" s="1"/>
      <c r="B72" s="2"/>
      <c r="C72" s="3"/>
      <c r="D72" s="4"/>
      <c r="E72" s="5"/>
      <c r="F72" s="5"/>
      <c r="G72" s="8"/>
    </row>
    <row r="73" spans="1:9" ht="15" x14ac:dyDescent="0.3">
      <c r="A73" s="1"/>
      <c r="B73" s="2"/>
      <c r="C73" s="3"/>
      <c r="D73" s="4"/>
      <c r="E73" s="5"/>
      <c r="F73" s="5"/>
      <c r="G73" s="8"/>
    </row>
    <row r="74" spans="1:9" ht="18" x14ac:dyDescent="0.25">
      <c r="A74" s="208" t="s">
        <v>1041</v>
      </c>
      <c r="B74" s="208"/>
      <c r="C74" s="208"/>
      <c r="D74" s="208"/>
      <c r="E74" s="208"/>
      <c r="F74" s="208"/>
      <c r="G74" s="208"/>
    </row>
    <row r="75" spans="1:9" ht="15" x14ac:dyDescent="0.3">
      <c r="A75" s="1"/>
      <c r="B75" s="9"/>
      <c r="C75" s="9"/>
      <c r="D75" s="9"/>
      <c r="E75" s="9"/>
      <c r="F75" s="10"/>
      <c r="G75" s="11"/>
    </row>
    <row r="76" spans="1:9" x14ac:dyDescent="0.2">
      <c r="A76" s="12" t="s">
        <v>2</v>
      </c>
      <c r="B76" s="12" t="s">
        <v>3</v>
      </c>
      <c r="C76" s="13" t="s">
        <v>4</v>
      </c>
      <c r="D76" s="14" t="s">
        <v>5</v>
      </c>
      <c r="E76" s="13" t="s">
        <v>6</v>
      </c>
      <c r="F76" s="13" t="s">
        <v>7</v>
      </c>
      <c r="G76" s="13" t="s">
        <v>32</v>
      </c>
    </row>
    <row r="77" spans="1:9" ht="15" x14ac:dyDescent="0.3">
      <c r="A77" s="15"/>
      <c r="B77" s="16">
        <v>40618</v>
      </c>
      <c r="C77" s="17" t="s">
        <v>1089</v>
      </c>
      <c r="D77" s="18">
        <f>+B77+15</f>
        <v>40633</v>
      </c>
      <c r="E77" s="19" t="s">
        <v>913</v>
      </c>
      <c r="F77" s="19" t="s">
        <v>1090</v>
      </c>
      <c r="G77" s="21">
        <v>247.8</v>
      </c>
      <c r="I77" s="35"/>
    </row>
    <row r="78" spans="1:9" ht="15" x14ac:dyDescent="0.3">
      <c r="A78" s="15"/>
      <c r="B78" s="16">
        <v>40619</v>
      </c>
      <c r="C78" s="17" t="s">
        <v>1091</v>
      </c>
      <c r="D78" s="18">
        <f>+B78+15</f>
        <v>40634</v>
      </c>
      <c r="E78" s="19" t="s">
        <v>913</v>
      </c>
      <c r="F78" s="19" t="s">
        <v>1090</v>
      </c>
      <c r="G78" s="21">
        <v>330.4</v>
      </c>
      <c r="I78" s="35"/>
    </row>
    <row r="79" spans="1:9" ht="15" x14ac:dyDescent="0.3">
      <c r="A79" s="15"/>
      <c r="B79" s="16">
        <v>40619</v>
      </c>
      <c r="C79" s="17" t="s">
        <v>1092</v>
      </c>
      <c r="D79" s="18">
        <f>+B79+15</f>
        <v>40634</v>
      </c>
      <c r="E79" s="19" t="s">
        <v>913</v>
      </c>
      <c r="F79" s="19" t="s">
        <v>1090</v>
      </c>
      <c r="G79" s="21">
        <v>454.3</v>
      </c>
    </row>
    <row r="80" spans="1:9" ht="15" x14ac:dyDescent="0.2">
      <c r="A80" s="22"/>
      <c r="B80" s="22"/>
      <c r="C80" s="23"/>
      <c r="D80" s="24"/>
      <c r="E80" s="25"/>
      <c r="F80" s="26" t="s">
        <v>24</v>
      </c>
      <c r="G80" s="36">
        <f>SUM(G77:G79)</f>
        <v>1032.5</v>
      </c>
    </row>
    <row r="81" spans="1:8" x14ac:dyDescent="0.2">
      <c r="B81" s="35"/>
    </row>
    <row r="82" spans="1:8" x14ac:dyDescent="0.2">
      <c r="B82" s="35"/>
    </row>
    <row r="83" spans="1:8" x14ac:dyDescent="0.2">
      <c r="B83" s="35"/>
    </row>
    <row r="86" spans="1:8" ht="15" customHeight="1" x14ac:dyDescent="0.3">
      <c r="A86" s="29"/>
      <c r="B86" s="30"/>
      <c r="C86" s="37"/>
      <c r="D86" s="30"/>
      <c r="E86" s="5"/>
      <c r="F86" s="207" t="s">
        <v>0</v>
      </c>
      <c r="G86" s="207"/>
    </row>
    <row r="87" spans="1:8" ht="18.75" x14ac:dyDescent="0.3">
      <c r="A87" s="31" t="s">
        <v>1</v>
      </c>
      <c r="B87" s="29"/>
      <c r="C87" s="37"/>
      <c r="D87" s="30"/>
      <c r="E87" s="5"/>
      <c r="F87" s="29"/>
      <c r="G87" s="29"/>
    </row>
    <row r="88" spans="1:8" ht="15" x14ac:dyDescent="0.3">
      <c r="A88" s="29"/>
      <c r="B88" s="30"/>
      <c r="C88" s="37"/>
      <c r="D88" s="30"/>
      <c r="E88" s="5"/>
      <c r="F88" s="5"/>
      <c r="G88" s="32"/>
    </row>
    <row r="89" spans="1:8" ht="15" x14ac:dyDescent="0.3">
      <c r="A89" s="29"/>
      <c r="B89" s="30"/>
      <c r="C89" s="37"/>
      <c r="D89" s="30"/>
      <c r="E89" s="5"/>
      <c r="F89" s="5"/>
      <c r="G89" s="32"/>
    </row>
    <row r="90" spans="1:8" ht="18" x14ac:dyDescent="0.25">
      <c r="A90" s="208" t="s">
        <v>1048</v>
      </c>
      <c r="B90" s="208"/>
      <c r="C90" s="208"/>
      <c r="D90" s="208"/>
      <c r="E90" s="208"/>
      <c r="F90" s="208"/>
      <c r="G90" s="208"/>
    </row>
    <row r="91" spans="1:8" ht="15" x14ac:dyDescent="0.3">
      <c r="A91" s="29"/>
      <c r="B91" s="9"/>
      <c r="C91" s="9"/>
      <c r="D91" s="9"/>
      <c r="E91" s="9"/>
      <c r="F91" s="10"/>
      <c r="G91" s="11"/>
    </row>
    <row r="92" spans="1:8" x14ac:dyDescent="0.2">
      <c r="A92" s="12" t="s">
        <v>2</v>
      </c>
      <c r="B92" s="12" t="s">
        <v>3</v>
      </c>
      <c r="C92" s="13" t="s">
        <v>4</v>
      </c>
      <c r="D92" s="14" t="s">
        <v>25</v>
      </c>
      <c r="E92" s="13" t="s">
        <v>6</v>
      </c>
      <c r="F92" s="13" t="s">
        <v>7</v>
      </c>
      <c r="G92" s="13" t="s">
        <v>32</v>
      </c>
    </row>
    <row r="93" spans="1:8" ht="15" x14ac:dyDescent="0.3">
      <c r="A93" s="15">
        <v>1</v>
      </c>
      <c r="B93" s="16">
        <v>40619</v>
      </c>
      <c r="C93" s="17" t="s">
        <v>1093</v>
      </c>
      <c r="D93" s="18" t="s">
        <v>1094</v>
      </c>
      <c r="E93" s="19" t="s">
        <v>1059</v>
      </c>
      <c r="F93" s="20" t="s">
        <v>96</v>
      </c>
      <c r="G93" s="21">
        <v>212.4</v>
      </c>
      <c r="H93" t="s">
        <v>27</v>
      </c>
    </row>
    <row r="94" spans="1:8" ht="15" x14ac:dyDescent="0.3">
      <c r="A94" s="15">
        <v>2</v>
      </c>
      <c r="B94" s="16">
        <v>40610</v>
      </c>
      <c r="C94" s="17" t="s">
        <v>1095</v>
      </c>
      <c r="D94" s="18" t="s">
        <v>1096</v>
      </c>
      <c r="E94" s="19" t="s">
        <v>1097</v>
      </c>
      <c r="F94" s="20" t="s">
        <v>96</v>
      </c>
      <c r="G94" s="21">
        <v>354</v>
      </c>
      <c r="H94" t="s">
        <v>27</v>
      </c>
    </row>
    <row r="95" spans="1:8" ht="15" x14ac:dyDescent="0.3">
      <c r="A95" s="29"/>
      <c r="B95" s="30"/>
      <c r="C95" s="37"/>
      <c r="D95" s="30"/>
      <c r="E95" s="5"/>
      <c r="F95" s="46" t="s">
        <v>24</v>
      </c>
      <c r="G95" s="36">
        <f>SUM(G93:G94)</f>
        <v>566.4</v>
      </c>
    </row>
    <row r="96" spans="1:8" x14ac:dyDescent="0.2">
      <c r="B96" s="35"/>
    </row>
    <row r="99" spans="1:8" ht="18.75" x14ac:dyDescent="0.3">
      <c r="A99" s="209" t="s">
        <v>1</v>
      </c>
      <c r="B99" s="209"/>
      <c r="C99" s="209"/>
      <c r="D99" s="209"/>
      <c r="E99" s="209"/>
      <c r="F99" s="47"/>
      <c r="G99" s="47"/>
    </row>
    <row r="100" spans="1:8" ht="15" x14ac:dyDescent="0.3">
      <c r="A100" s="1"/>
      <c r="B100" s="37"/>
      <c r="C100" s="37"/>
      <c r="D100" s="37"/>
      <c r="E100" s="47"/>
      <c r="F100" s="47"/>
      <c r="G100" s="48"/>
    </row>
    <row r="101" spans="1:8" ht="15" x14ac:dyDescent="0.3">
      <c r="A101" s="1"/>
      <c r="B101" s="37"/>
      <c r="C101" s="37"/>
      <c r="D101" s="37"/>
      <c r="E101" s="47"/>
      <c r="F101" s="47"/>
      <c r="G101" s="48"/>
    </row>
    <row r="102" spans="1:8" ht="18" x14ac:dyDescent="0.25">
      <c r="A102" s="210" t="s">
        <v>1074</v>
      </c>
      <c r="B102" s="210"/>
      <c r="C102" s="210"/>
      <c r="D102" s="210"/>
      <c r="E102" s="210"/>
      <c r="F102" s="210"/>
      <c r="G102" s="210"/>
    </row>
    <row r="103" spans="1:8" ht="15" x14ac:dyDescent="0.3">
      <c r="A103" s="1"/>
      <c r="B103" s="49"/>
      <c r="C103" s="49"/>
      <c r="D103" s="49"/>
      <c r="E103" s="49"/>
      <c r="F103" s="50"/>
      <c r="G103" s="47"/>
    </row>
    <row r="104" spans="1:8" x14ac:dyDescent="0.2">
      <c r="A104" s="51" t="s">
        <v>2</v>
      </c>
      <c r="B104" s="51" t="s">
        <v>3</v>
      </c>
      <c r="C104" s="51" t="s">
        <v>4</v>
      </c>
      <c r="D104" s="51" t="s">
        <v>5</v>
      </c>
      <c r="E104" s="51" t="s">
        <v>6</v>
      </c>
      <c r="F104" s="51" t="s">
        <v>146</v>
      </c>
      <c r="G104" s="13" t="s">
        <v>32</v>
      </c>
    </row>
    <row r="105" spans="1:8" ht="15" x14ac:dyDescent="0.3">
      <c r="A105" s="52"/>
      <c r="B105" s="53"/>
      <c r="C105" s="17"/>
      <c r="D105" s="54"/>
      <c r="E105" s="19"/>
      <c r="F105" s="20"/>
      <c r="G105" s="21"/>
      <c r="H105" s="1"/>
    </row>
    <row r="106" spans="1:8" ht="15" x14ac:dyDescent="0.3">
      <c r="A106" s="1"/>
      <c r="B106" s="37"/>
      <c r="C106" s="37"/>
      <c r="D106" s="37"/>
      <c r="E106" s="47"/>
      <c r="F106" s="51" t="s">
        <v>155</v>
      </c>
      <c r="G106" s="36">
        <f>SUM(G105:G105)</f>
        <v>0</v>
      </c>
    </row>
    <row r="110" spans="1:8" ht="15" customHeight="1" x14ac:dyDescent="0.3">
      <c r="A110" s="29"/>
      <c r="B110" s="30"/>
      <c r="C110" s="37"/>
      <c r="D110" s="30"/>
      <c r="E110" s="5"/>
      <c r="F110" s="207" t="s">
        <v>0</v>
      </c>
      <c r="G110" s="207"/>
    </row>
    <row r="111" spans="1:8" ht="18.75" x14ac:dyDescent="0.3">
      <c r="A111" s="31" t="s">
        <v>1</v>
      </c>
      <c r="B111" s="29"/>
      <c r="C111" s="37"/>
      <c r="D111" s="30"/>
      <c r="E111" s="5"/>
      <c r="F111" s="29"/>
      <c r="G111" s="29"/>
    </row>
    <row r="112" spans="1:8" ht="15" x14ac:dyDescent="0.3">
      <c r="A112" s="29"/>
      <c r="B112" s="30"/>
      <c r="C112" s="37"/>
      <c r="D112" s="30"/>
      <c r="E112" s="5"/>
      <c r="F112" s="5"/>
      <c r="G112" s="32"/>
    </row>
    <row r="113" spans="1:8" ht="15" x14ac:dyDescent="0.3">
      <c r="A113" s="29"/>
      <c r="B113" s="30"/>
      <c r="C113" s="37"/>
      <c r="D113" s="30"/>
      <c r="E113" s="5"/>
      <c r="F113" s="5"/>
      <c r="G113" s="32"/>
    </row>
    <row r="114" spans="1:8" ht="18" x14ac:dyDescent="0.25">
      <c r="A114" s="208" t="s">
        <v>843</v>
      </c>
      <c r="B114" s="208"/>
      <c r="C114" s="208"/>
      <c r="D114" s="208"/>
      <c r="E114" s="208"/>
      <c r="F114" s="208"/>
      <c r="G114" s="208"/>
    </row>
    <row r="115" spans="1:8" ht="18" x14ac:dyDescent="0.25">
      <c r="A115" s="208" t="s">
        <v>157</v>
      </c>
      <c r="B115" s="208"/>
      <c r="C115" s="208"/>
      <c r="D115" s="208"/>
      <c r="E115" s="208"/>
      <c r="F115" s="208"/>
      <c r="G115" s="208"/>
    </row>
    <row r="116" spans="1:8" ht="15" x14ac:dyDescent="0.3">
      <c r="A116" s="29"/>
      <c r="B116" s="9"/>
      <c r="C116" s="9"/>
      <c r="D116" s="9"/>
      <c r="E116" s="9"/>
      <c r="F116" s="10"/>
      <c r="G116" s="11"/>
    </row>
    <row r="117" spans="1:8" x14ac:dyDescent="0.2">
      <c r="A117" s="12" t="s">
        <v>2</v>
      </c>
      <c r="B117" s="12" t="s">
        <v>3</v>
      </c>
      <c r="C117" s="13" t="s">
        <v>4</v>
      </c>
      <c r="D117" s="14" t="s">
        <v>25</v>
      </c>
      <c r="E117" s="13" t="s">
        <v>6</v>
      </c>
      <c r="F117" s="13" t="s">
        <v>7</v>
      </c>
      <c r="G117" s="13" t="s">
        <v>32</v>
      </c>
      <c r="H117" s="13" t="s">
        <v>8</v>
      </c>
    </row>
    <row r="118" spans="1:8" ht="30" x14ac:dyDescent="0.3">
      <c r="A118" s="15">
        <v>1</v>
      </c>
      <c r="B118" s="16">
        <v>40638</v>
      </c>
      <c r="C118" s="17" t="s">
        <v>173</v>
      </c>
      <c r="D118" s="18" t="s">
        <v>1094</v>
      </c>
      <c r="E118" s="19" t="s">
        <v>1098</v>
      </c>
      <c r="F118" s="19" t="s">
        <v>1099</v>
      </c>
      <c r="G118" s="21"/>
      <c r="H118" s="21">
        <v>126.6</v>
      </c>
    </row>
    <row r="119" spans="1:8" ht="15" x14ac:dyDescent="0.3">
      <c r="A119" s="29"/>
      <c r="B119" s="30"/>
      <c r="C119" s="37"/>
      <c r="D119" s="30"/>
      <c r="E119" s="5"/>
      <c r="F119" s="46" t="s">
        <v>24</v>
      </c>
      <c r="G119" s="36">
        <f>SUM(G118:G118)</f>
        <v>0</v>
      </c>
      <c r="H119" s="27">
        <f>SUM(H118:H118)</f>
        <v>126.6</v>
      </c>
    </row>
  </sheetData>
  <sheetProtection selectLockedCells="1" selectUnlockedCells="1"/>
  <mergeCells count="19">
    <mergeCell ref="F70:G70"/>
    <mergeCell ref="A74:G74"/>
    <mergeCell ref="A115:G115"/>
    <mergeCell ref="F86:G86"/>
    <mergeCell ref="A90:G90"/>
    <mergeCell ref="A99:E99"/>
    <mergeCell ref="A102:G102"/>
    <mergeCell ref="F110:G110"/>
    <mergeCell ref="A114:G114"/>
    <mergeCell ref="A38:G38"/>
    <mergeCell ref="F46:G46"/>
    <mergeCell ref="A50:G50"/>
    <mergeCell ref="A51:G51"/>
    <mergeCell ref="A66:G68"/>
    <mergeCell ref="F1:G1"/>
    <mergeCell ref="A5:G5"/>
    <mergeCell ref="F15:G15"/>
    <mergeCell ref="A19:G19"/>
    <mergeCell ref="A35:E35"/>
  </mergeCells>
  <pageMargins left="0.70833333333333337" right="0.70833333333333337" top="0.74791666666666667" bottom="0.74791666666666667" header="0.51180555555555551" footer="0.51180555555555551"/>
  <pageSetup scale="62" firstPageNumber="0" orientation="portrait" horizontalDpi="300" verticalDpi="300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pageSetUpPr fitToPage="1"/>
  </sheetPr>
  <dimension ref="A1:J61"/>
  <sheetViews>
    <sheetView workbookViewId="0">
      <selection activeCell="A88" sqref="A88"/>
    </sheetView>
  </sheetViews>
  <sheetFormatPr baseColWidth="10" defaultColWidth="10.7109375" defaultRowHeight="12.75" x14ac:dyDescent="0.2"/>
  <cols>
    <col min="1" max="1" width="3.5703125" customWidth="1"/>
    <col min="2" max="2" width="13.28515625" customWidth="1"/>
    <col min="3" max="3" width="14.85546875" customWidth="1"/>
    <col min="4" max="4" width="13.140625" customWidth="1"/>
    <col min="5" max="5" width="52.5703125" customWidth="1"/>
    <col min="6" max="6" width="41.85546875" customWidth="1"/>
    <col min="7" max="7" width="15.42578125" customWidth="1"/>
  </cols>
  <sheetData>
    <row r="1" spans="1:7" ht="15" customHeight="1" x14ac:dyDescent="0.3">
      <c r="A1" s="1"/>
      <c r="B1" s="2"/>
      <c r="C1" s="3"/>
      <c r="D1" s="4"/>
      <c r="E1" s="5"/>
      <c r="F1" s="207" t="s">
        <v>0</v>
      </c>
      <c r="G1" s="207"/>
    </row>
    <row r="2" spans="1:7" ht="18.75" x14ac:dyDescent="0.3">
      <c r="A2" s="7" t="s">
        <v>1</v>
      </c>
      <c r="B2" s="7"/>
      <c r="C2" s="3"/>
      <c r="D2" s="4"/>
      <c r="E2" s="5"/>
      <c r="F2" s="5"/>
      <c r="G2" s="8"/>
    </row>
    <row r="3" spans="1:7" ht="15" x14ac:dyDescent="0.3">
      <c r="A3" s="1"/>
      <c r="B3" s="2"/>
      <c r="C3" s="3"/>
      <c r="D3" s="4"/>
      <c r="E3" s="5"/>
      <c r="F3" s="5"/>
      <c r="G3" s="8"/>
    </row>
    <row r="4" spans="1:7" ht="15" x14ac:dyDescent="0.3">
      <c r="A4" s="1"/>
      <c r="B4" s="2"/>
      <c r="C4" s="3"/>
      <c r="D4" s="4"/>
      <c r="E4" s="5"/>
      <c r="F4" s="5"/>
      <c r="G4" s="8"/>
    </row>
    <row r="5" spans="1:7" ht="18" x14ac:dyDescent="0.25">
      <c r="A5" s="208" t="s">
        <v>1100</v>
      </c>
      <c r="B5" s="208"/>
      <c r="C5" s="208"/>
      <c r="D5" s="208"/>
      <c r="E5" s="208"/>
      <c r="F5" s="208"/>
      <c r="G5" s="208"/>
    </row>
    <row r="6" spans="1:7" ht="15" x14ac:dyDescent="0.3">
      <c r="A6" s="1"/>
      <c r="B6" s="9"/>
      <c r="C6" s="9"/>
      <c r="D6" s="9"/>
      <c r="E6" s="9"/>
      <c r="F6" s="10"/>
      <c r="G6" s="11"/>
    </row>
    <row r="7" spans="1:7" x14ac:dyDescent="0.2">
      <c r="A7" s="12" t="s">
        <v>2</v>
      </c>
      <c r="B7" s="12" t="s">
        <v>3</v>
      </c>
      <c r="C7" s="13" t="s">
        <v>4</v>
      </c>
      <c r="D7" s="14" t="s">
        <v>5</v>
      </c>
      <c r="E7" s="13" t="s">
        <v>6</v>
      </c>
      <c r="F7" s="13" t="s">
        <v>7</v>
      </c>
      <c r="G7" s="13" t="s">
        <v>8</v>
      </c>
    </row>
    <row r="8" spans="1:7" ht="15" x14ac:dyDescent="0.3">
      <c r="A8" s="15">
        <v>1</v>
      </c>
      <c r="B8" s="16">
        <v>40607</v>
      </c>
      <c r="C8" s="17" t="s">
        <v>1101</v>
      </c>
      <c r="D8" s="18">
        <f>+B8+30</f>
        <v>40637</v>
      </c>
      <c r="E8" s="19" t="s">
        <v>1102</v>
      </c>
      <c r="F8" s="20" t="s">
        <v>1103</v>
      </c>
      <c r="G8" s="21">
        <f>(126.85*0.02)+126.85</f>
        <v>129.387</v>
      </c>
    </row>
    <row r="9" spans="1:7" ht="15" x14ac:dyDescent="0.2">
      <c r="A9" s="22"/>
      <c r="B9" s="22"/>
      <c r="C9" s="23"/>
      <c r="D9" s="24"/>
      <c r="E9" s="25"/>
      <c r="F9" s="26" t="s">
        <v>24</v>
      </c>
      <c r="G9" s="27">
        <f>SUM(G8:G8)</f>
        <v>129.387</v>
      </c>
    </row>
    <row r="10" spans="1:7" ht="15" x14ac:dyDescent="0.3">
      <c r="A10" s="1"/>
      <c r="B10" s="28"/>
      <c r="C10" s="1"/>
      <c r="D10" s="1"/>
      <c r="E10" s="1"/>
      <c r="F10" s="5"/>
      <c r="G10" s="11"/>
    </row>
    <row r="11" spans="1:7" x14ac:dyDescent="0.2">
      <c r="B11" s="35"/>
    </row>
    <row r="12" spans="1:7" x14ac:dyDescent="0.2">
      <c r="B12" s="35"/>
    </row>
    <row r="14" spans="1:7" ht="15" customHeight="1" x14ac:dyDescent="0.3">
      <c r="A14" s="29"/>
      <c r="B14" s="30"/>
      <c r="C14" s="37"/>
      <c r="D14" s="30"/>
      <c r="E14" s="5"/>
      <c r="F14" s="207" t="s">
        <v>0</v>
      </c>
      <c r="G14" s="207"/>
    </row>
    <row r="15" spans="1:7" ht="18.75" x14ac:dyDescent="0.3">
      <c r="A15" s="31" t="s">
        <v>1</v>
      </c>
      <c r="B15" s="29"/>
      <c r="C15" s="37"/>
      <c r="D15" s="30"/>
      <c r="E15" s="5"/>
      <c r="F15" s="29"/>
      <c r="G15" s="29"/>
    </row>
    <row r="16" spans="1:7" ht="15" x14ac:dyDescent="0.3">
      <c r="A16" s="29"/>
      <c r="B16" s="30"/>
      <c r="C16" s="37"/>
      <c r="D16" s="30"/>
      <c r="E16" s="5"/>
      <c r="F16" s="5"/>
      <c r="G16" s="32"/>
    </row>
    <row r="17" spans="1:8" ht="15" x14ac:dyDescent="0.3">
      <c r="A17" s="29"/>
      <c r="B17" s="30"/>
      <c r="C17" s="37"/>
      <c r="D17" s="30"/>
      <c r="E17" s="5"/>
      <c r="F17" s="5"/>
      <c r="G17" s="32"/>
    </row>
    <row r="18" spans="1:8" ht="18" x14ac:dyDescent="0.25">
      <c r="A18" s="208" t="s">
        <v>1104</v>
      </c>
      <c r="B18" s="208"/>
      <c r="C18" s="208"/>
      <c r="D18" s="208"/>
      <c r="E18" s="208"/>
      <c r="F18" s="208"/>
      <c r="G18" s="208"/>
    </row>
    <row r="19" spans="1:8" ht="15" x14ac:dyDescent="0.3">
      <c r="A19" s="29"/>
      <c r="B19" s="9"/>
      <c r="C19" s="9"/>
      <c r="D19" s="9"/>
      <c r="E19" s="9"/>
      <c r="F19" s="10"/>
      <c r="G19" s="11"/>
    </row>
    <row r="20" spans="1:8" x14ac:dyDescent="0.2">
      <c r="A20" s="12" t="s">
        <v>2</v>
      </c>
      <c r="B20" s="12" t="s">
        <v>3</v>
      </c>
      <c r="C20" s="13" t="s">
        <v>4</v>
      </c>
      <c r="D20" s="14" t="s">
        <v>25</v>
      </c>
      <c r="E20" s="13" t="s">
        <v>6</v>
      </c>
      <c r="F20" s="13" t="s">
        <v>7</v>
      </c>
      <c r="G20" s="13" t="s">
        <v>8</v>
      </c>
    </row>
    <row r="21" spans="1:8" ht="15" x14ac:dyDescent="0.3">
      <c r="A21" s="15"/>
      <c r="B21" s="16"/>
      <c r="C21" s="33"/>
      <c r="D21" s="18"/>
      <c r="E21" s="19"/>
      <c r="F21" s="20"/>
      <c r="G21" s="21"/>
    </row>
    <row r="22" spans="1:8" ht="30" x14ac:dyDescent="0.3">
      <c r="A22" s="15">
        <v>2</v>
      </c>
      <c r="B22" s="16">
        <v>40640</v>
      </c>
      <c r="C22" s="33" t="s">
        <v>1105</v>
      </c>
      <c r="D22" s="18" t="s">
        <v>1106</v>
      </c>
      <c r="E22" s="19" t="s">
        <v>511</v>
      </c>
      <c r="F22" s="20" t="s">
        <v>1107</v>
      </c>
      <c r="G22" s="21">
        <v>252.92</v>
      </c>
      <c r="H22" t="s">
        <v>27</v>
      </c>
    </row>
    <row r="23" spans="1:8" ht="30" x14ac:dyDescent="0.3">
      <c r="A23" s="15">
        <v>3</v>
      </c>
      <c r="B23" s="16">
        <v>40641</v>
      </c>
      <c r="C23" s="33" t="s">
        <v>1108</v>
      </c>
      <c r="D23" s="18" t="s">
        <v>1109</v>
      </c>
      <c r="E23" s="19" t="s">
        <v>1110</v>
      </c>
      <c r="F23" s="20" t="s">
        <v>1111</v>
      </c>
      <c r="G23" s="21">
        <v>22574.78</v>
      </c>
    </row>
    <row r="24" spans="1:8" ht="15" x14ac:dyDescent="0.3">
      <c r="A24" s="29"/>
      <c r="B24" s="30"/>
      <c r="C24" s="37"/>
      <c r="D24" s="30"/>
      <c r="E24" s="5"/>
      <c r="F24" s="26" t="s">
        <v>24</v>
      </c>
      <c r="G24" s="27">
        <f>SUM(G21:G23)</f>
        <v>22827.699999999997</v>
      </c>
    </row>
    <row r="31" spans="1:8" ht="15" customHeight="1" x14ac:dyDescent="0.3">
      <c r="A31" s="1"/>
      <c r="B31" s="37"/>
      <c r="C31" s="37"/>
      <c r="D31" s="37"/>
      <c r="E31" s="47"/>
      <c r="F31" s="212" t="s">
        <v>0</v>
      </c>
      <c r="G31" s="212"/>
    </row>
    <row r="32" spans="1:8" ht="18.75" x14ac:dyDescent="0.3">
      <c r="A32" s="209" t="s">
        <v>1</v>
      </c>
      <c r="B32" s="209"/>
      <c r="C32" s="209"/>
      <c r="D32" s="209"/>
      <c r="E32" s="209"/>
      <c r="F32" s="47"/>
      <c r="G32" s="47"/>
    </row>
    <row r="33" spans="1:10" ht="15" x14ac:dyDescent="0.3">
      <c r="A33" s="1"/>
      <c r="B33" s="37"/>
      <c r="C33" s="37"/>
      <c r="D33" s="37"/>
      <c r="E33" s="47"/>
      <c r="F33" s="47"/>
      <c r="G33" s="48"/>
    </row>
    <row r="34" spans="1:10" ht="15" x14ac:dyDescent="0.3">
      <c r="A34" s="1"/>
      <c r="B34" s="37"/>
      <c r="C34" s="37"/>
      <c r="D34" s="37"/>
      <c r="E34" s="47"/>
      <c r="F34" s="47"/>
      <c r="G34" s="48"/>
    </row>
    <row r="35" spans="1:10" ht="18" x14ac:dyDescent="0.25">
      <c r="A35" s="210" t="s">
        <v>1112</v>
      </c>
      <c r="B35" s="210"/>
      <c r="C35" s="210"/>
      <c r="D35" s="210"/>
      <c r="E35" s="210"/>
      <c r="F35" s="210"/>
      <c r="G35" s="210"/>
    </row>
    <row r="36" spans="1:10" ht="15" x14ac:dyDescent="0.3">
      <c r="A36" s="1"/>
      <c r="B36" s="49"/>
      <c r="C36" s="49"/>
      <c r="D36" s="49"/>
      <c r="E36" s="49"/>
      <c r="F36" s="50"/>
      <c r="G36" s="47"/>
    </row>
    <row r="37" spans="1:10" x14ac:dyDescent="0.2">
      <c r="A37" s="51" t="s">
        <v>2</v>
      </c>
      <c r="B37" s="51" t="s">
        <v>3</v>
      </c>
      <c r="C37" s="51" t="s">
        <v>4</v>
      </c>
      <c r="D37" s="51" t="s">
        <v>5</v>
      </c>
      <c r="E37" s="51" t="s">
        <v>6</v>
      </c>
      <c r="F37" s="51" t="s">
        <v>146</v>
      </c>
      <c r="G37" s="13" t="s">
        <v>8</v>
      </c>
    </row>
    <row r="38" spans="1:10" s="1" customFormat="1" ht="30" x14ac:dyDescent="0.3">
      <c r="A38" s="15">
        <v>1</v>
      </c>
      <c r="B38" s="16">
        <v>40609</v>
      </c>
      <c r="C38" s="33" t="s">
        <v>1113</v>
      </c>
      <c r="D38" s="73">
        <f>+B38+30</f>
        <v>40639</v>
      </c>
      <c r="E38" s="19" t="s">
        <v>1114</v>
      </c>
      <c r="F38" s="19" t="s">
        <v>306</v>
      </c>
      <c r="G38" s="82">
        <v>18937.82</v>
      </c>
      <c r="H38" s="1" t="s">
        <v>1115</v>
      </c>
      <c r="J38" s="1" t="s">
        <v>27</v>
      </c>
    </row>
    <row r="39" spans="1:10" s="1" customFormat="1" ht="26.25" x14ac:dyDescent="0.3">
      <c r="A39" s="15">
        <v>2</v>
      </c>
      <c r="B39" s="16">
        <v>40583</v>
      </c>
      <c r="C39" s="33" t="s">
        <v>1116</v>
      </c>
      <c r="D39" s="73">
        <f>+B39+60</f>
        <v>40643</v>
      </c>
      <c r="E39" s="19" t="s">
        <v>1117</v>
      </c>
      <c r="F39" s="19" t="s">
        <v>1118</v>
      </c>
      <c r="G39" s="82">
        <f>5744.39+7755.26</f>
        <v>13499.650000000001</v>
      </c>
      <c r="H39" s="1" t="s">
        <v>1119</v>
      </c>
      <c r="J39" s="1" t="s">
        <v>27</v>
      </c>
    </row>
    <row r="40" spans="1:10" s="1" customFormat="1" ht="15" x14ac:dyDescent="0.3">
      <c r="A40" s="15">
        <v>3</v>
      </c>
      <c r="B40" s="16">
        <v>40583</v>
      </c>
      <c r="C40" s="17" t="s">
        <v>1120</v>
      </c>
      <c r="D40" s="83">
        <f>+B40+60+1</f>
        <v>40644</v>
      </c>
      <c r="E40" s="19" t="s">
        <v>523</v>
      </c>
      <c r="F40" s="19" t="s">
        <v>149</v>
      </c>
      <c r="G40" s="21">
        <v>20907.59</v>
      </c>
      <c r="H40" s="84" t="s">
        <v>1121</v>
      </c>
    </row>
    <row r="41" spans="1:10" s="1" customFormat="1" ht="15" x14ac:dyDescent="0.3">
      <c r="A41" s="15">
        <v>4</v>
      </c>
      <c r="B41" s="16">
        <v>40618</v>
      </c>
      <c r="C41" s="17" t="s">
        <v>1122</v>
      </c>
      <c r="D41" s="83">
        <f>+B41+30</f>
        <v>40648</v>
      </c>
      <c r="E41" s="19" t="s">
        <v>523</v>
      </c>
      <c r="F41" s="19" t="s">
        <v>149</v>
      </c>
      <c r="G41" s="21">
        <v>1687.45</v>
      </c>
      <c r="H41" s="84" t="s">
        <v>1123</v>
      </c>
    </row>
    <row r="42" spans="1:10" s="1" customFormat="1" ht="15" x14ac:dyDescent="0.3">
      <c r="A42" s="15">
        <v>5</v>
      </c>
      <c r="B42" s="16">
        <v>40589</v>
      </c>
      <c r="C42" s="17" t="s">
        <v>1124</v>
      </c>
      <c r="D42" s="83">
        <f>+B42+60</f>
        <v>40649</v>
      </c>
      <c r="E42" s="19" t="s">
        <v>1125</v>
      </c>
      <c r="F42" s="19" t="s">
        <v>761</v>
      </c>
      <c r="G42" s="21">
        <v>13900.29</v>
      </c>
      <c r="H42" s="84" t="s">
        <v>1126</v>
      </c>
    </row>
    <row r="43" spans="1:10" ht="15" x14ac:dyDescent="0.3">
      <c r="A43" s="1"/>
      <c r="B43" s="37"/>
      <c r="C43" s="37"/>
      <c r="D43" s="37"/>
      <c r="E43" s="47"/>
      <c r="F43" s="51" t="s">
        <v>155</v>
      </c>
      <c r="G43" s="27">
        <f>SUM(G38:G42)</f>
        <v>68932.799999999988</v>
      </c>
    </row>
    <row r="48" spans="1:10" x14ac:dyDescent="0.2">
      <c r="A48" s="211" t="s">
        <v>609</v>
      </c>
      <c r="B48" s="211"/>
      <c r="C48" s="211"/>
      <c r="D48" s="211"/>
      <c r="E48" s="211"/>
      <c r="F48" s="211"/>
      <c r="G48" s="211"/>
    </row>
    <row r="49" spans="1:8" x14ac:dyDescent="0.2">
      <c r="A49" s="211"/>
      <c r="B49" s="211"/>
      <c r="C49" s="211"/>
      <c r="D49" s="211"/>
      <c r="E49" s="211"/>
      <c r="F49" s="211"/>
      <c r="G49" s="211"/>
    </row>
    <row r="50" spans="1:8" x14ac:dyDescent="0.2">
      <c r="A50" s="211"/>
      <c r="B50" s="211"/>
      <c r="C50" s="211"/>
      <c r="D50" s="211"/>
      <c r="E50" s="211"/>
      <c r="F50" s="211"/>
      <c r="G50" s="211"/>
    </row>
    <row r="53" spans="1:8" ht="15" customHeight="1" x14ac:dyDescent="0.3">
      <c r="A53" s="1"/>
      <c r="B53" s="37"/>
      <c r="C53" s="37"/>
      <c r="D53" s="37"/>
      <c r="E53" s="47"/>
      <c r="F53" s="212" t="s">
        <v>0</v>
      </c>
      <c r="G53" s="212"/>
    </row>
    <row r="54" spans="1:8" ht="18.75" x14ac:dyDescent="0.3">
      <c r="A54" s="209" t="s">
        <v>1</v>
      </c>
      <c r="B54" s="209"/>
      <c r="C54" s="209"/>
      <c r="D54" s="209"/>
      <c r="E54" s="209"/>
      <c r="F54" s="47"/>
      <c r="G54" s="47"/>
    </row>
    <row r="55" spans="1:8" ht="15" x14ac:dyDescent="0.3">
      <c r="A55" s="1"/>
      <c r="B55" s="37"/>
      <c r="C55" s="37"/>
      <c r="D55" s="37"/>
      <c r="E55" s="47"/>
      <c r="F55" s="47"/>
      <c r="G55" s="48"/>
    </row>
    <row r="56" spans="1:8" ht="15" x14ac:dyDescent="0.3">
      <c r="A56" s="1"/>
      <c r="B56" s="37"/>
      <c r="C56" s="37"/>
      <c r="D56" s="37"/>
      <c r="E56" s="47"/>
      <c r="F56" s="47"/>
      <c r="G56" s="48"/>
    </row>
    <row r="57" spans="1:8" ht="18" x14ac:dyDescent="0.25">
      <c r="A57" s="210" t="s">
        <v>1112</v>
      </c>
      <c r="B57" s="210"/>
      <c r="C57" s="210"/>
      <c r="D57" s="210"/>
      <c r="E57" s="210"/>
      <c r="F57" s="210"/>
      <c r="G57" s="210"/>
    </row>
    <row r="58" spans="1:8" ht="15" x14ac:dyDescent="0.3">
      <c r="A58" s="1"/>
      <c r="B58" s="49"/>
      <c r="C58" s="49"/>
      <c r="D58" s="49"/>
      <c r="E58" s="49"/>
      <c r="F58" s="50"/>
      <c r="G58" s="47"/>
    </row>
    <row r="59" spans="1:8" x14ac:dyDescent="0.2">
      <c r="A59" s="51" t="s">
        <v>2</v>
      </c>
      <c r="B59" s="51" t="s">
        <v>3</v>
      </c>
      <c r="C59" s="51" t="s">
        <v>4</v>
      </c>
      <c r="D59" s="51" t="s">
        <v>5</v>
      </c>
      <c r="E59" s="51" t="s">
        <v>6</v>
      </c>
      <c r="F59" s="51" t="s">
        <v>146</v>
      </c>
      <c r="G59" s="13" t="s">
        <v>8</v>
      </c>
    </row>
    <row r="60" spans="1:8" ht="15" x14ac:dyDescent="0.3">
      <c r="A60" s="52">
        <v>1</v>
      </c>
      <c r="B60" s="16">
        <v>40602</v>
      </c>
      <c r="C60" s="17" t="s">
        <v>1127</v>
      </c>
      <c r="D60" s="83">
        <f>+B60+45</f>
        <v>40647</v>
      </c>
      <c r="E60" s="19" t="s">
        <v>1128</v>
      </c>
      <c r="F60" s="85" t="s">
        <v>149</v>
      </c>
      <c r="G60" s="21">
        <v>12026.43</v>
      </c>
      <c r="H60" s="84" t="s">
        <v>1129</v>
      </c>
    </row>
    <row r="61" spans="1:8" ht="15" x14ac:dyDescent="0.3">
      <c r="A61" s="1"/>
      <c r="B61" s="37"/>
      <c r="C61" s="37"/>
      <c r="D61" s="37"/>
      <c r="E61" s="47"/>
      <c r="F61" s="51" t="s">
        <v>155</v>
      </c>
      <c r="G61" s="27">
        <f>SUM(G60:G60)</f>
        <v>12026.43</v>
      </c>
    </row>
  </sheetData>
  <sheetProtection selectLockedCells="1" selectUnlockedCells="1"/>
  <mergeCells count="11">
    <mergeCell ref="A57:G57"/>
    <mergeCell ref="A32:E32"/>
    <mergeCell ref="A35:G35"/>
    <mergeCell ref="A48:G50"/>
    <mergeCell ref="F53:G53"/>
    <mergeCell ref="A54:E54"/>
    <mergeCell ref="F1:G1"/>
    <mergeCell ref="A5:G5"/>
    <mergeCell ref="F14:G14"/>
    <mergeCell ref="A18:G18"/>
    <mergeCell ref="F31:G31"/>
  </mergeCells>
  <pageMargins left="0.70833333333333337" right="0.70833333333333337" top="0.74791666666666667" bottom="0.74791666666666667" header="0.51180555555555551" footer="0.51180555555555551"/>
  <pageSetup scale="59" firstPageNumber="0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pageSetUpPr fitToPage="1"/>
  </sheetPr>
  <dimension ref="A1:I120"/>
  <sheetViews>
    <sheetView workbookViewId="0">
      <selection activeCell="A88" sqref="A88"/>
    </sheetView>
  </sheetViews>
  <sheetFormatPr baseColWidth="10" defaultColWidth="10.7109375" defaultRowHeight="12.75" x14ac:dyDescent="0.2"/>
  <cols>
    <col min="1" max="1" width="4.7109375" customWidth="1"/>
    <col min="2" max="2" width="12.28515625" customWidth="1"/>
    <col min="3" max="3" width="19" customWidth="1"/>
    <col min="4" max="4" width="19.42578125" customWidth="1"/>
    <col min="5" max="5" width="33.85546875" customWidth="1"/>
    <col min="6" max="6" width="38.5703125" customWidth="1"/>
    <col min="7" max="7" width="14.42578125" customWidth="1"/>
    <col min="8" max="8" width="11.85546875" customWidth="1"/>
  </cols>
  <sheetData>
    <row r="1" spans="1:9" ht="15" customHeight="1" x14ac:dyDescent="0.3">
      <c r="A1" s="1"/>
      <c r="B1" s="2"/>
      <c r="C1" s="3"/>
      <c r="D1" s="4"/>
      <c r="E1" s="5"/>
      <c r="F1" s="207" t="s">
        <v>0</v>
      </c>
      <c r="G1" s="207"/>
    </row>
    <row r="2" spans="1:9" ht="18.75" x14ac:dyDescent="0.3">
      <c r="A2" s="7" t="s">
        <v>1</v>
      </c>
      <c r="B2" s="7"/>
      <c r="C2" s="3"/>
      <c r="D2" s="4"/>
      <c r="E2" s="5"/>
      <c r="F2" s="5"/>
      <c r="G2" s="8"/>
    </row>
    <row r="3" spans="1:9" ht="15" x14ac:dyDescent="0.3">
      <c r="A3" s="1"/>
      <c r="B3" s="2"/>
      <c r="C3" s="3"/>
      <c r="D3" s="4"/>
      <c r="E3" s="5"/>
      <c r="F3" s="5"/>
      <c r="G3" s="8"/>
    </row>
    <row r="4" spans="1:9" ht="15" x14ac:dyDescent="0.3">
      <c r="A4" s="1"/>
      <c r="B4" s="2"/>
      <c r="C4" s="3"/>
      <c r="D4" s="4"/>
      <c r="E4" s="5"/>
      <c r="F4" s="5"/>
      <c r="G4" s="8"/>
    </row>
    <row r="5" spans="1:9" ht="18" x14ac:dyDescent="0.25">
      <c r="A5" s="208" t="s">
        <v>1130</v>
      </c>
      <c r="B5" s="208"/>
      <c r="C5" s="208"/>
      <c r="D5" s="208"/>
      <c r="E5" s="208"/>
      <c r="F5" s="208"/>
      <c r="G5" s="208"/>
    </row>
    <row r="6" spans="1:9" ht="15" x14ac:dyDescent="0.3">
      <c r="A6" s="1"/>
      <c r="B6" s="9"/>
      <c r="C6" s="9"/>
      <c r="D6" s="9"/>
      <c r="E6" s="9"/>
      <c r="F6" s="10"/>
      <c r="G6" s="11"/>
    </row>
    <row r="7" spans="1:9" x14ac:dyDescent="0.2">
      <c r="A7" s="12" t="s">
        <v>2</v>
      </c>
      <c r="B7" s="12" t="s">
        <v>3</v>
      </c>
      <c r="C7" s="13" t="s">
        <v>4</v>
      </c>
      <c r="D7" s="14" t="s">
        <v>5</v>
      </c>
      <c r="E7" s="13" t="s">
        <v>6</v>
      </c>
      <c r="F7" s="13" t="s">
        <v>7</v>
      </c>
      <c r="G7" s="13" t="s">
        <v>32</v>
      </c>
    </row>
    <row r="8" spans="1:9" ht="15" x14ac:dyDescent="0.3">
      <c r="A8" s="15">
        <v>1</v>
      </c>
      <c r="B8" s="16">
        <v>40616</v>
      </c>
      <c r="C8" s="17" t="s">
        <v>1131</v>
      </c>
      <c r="D8" s="18">
        <f>+B8+15</f>
        <v>40631</v>
      </c>
      <c r="E8" s="19" t="s">
        <v>233</v>
      </c>
      <c r="F8" s="19" t="s">
        <v>1132</v>
      </c>
      <c r="G8" s="21">
        <f>130.39+(130.39*0.02)</f>
        <v>132.99779999999998</v>
      </c>
    </row>
    <row r="9" spans="1:9" ht="15" x14ac:dyDescent="0.3">
      <c r="A9" s="15">
        <v>2</v>
      </c>
      <c r="B9" s="16">
        <v>40625</v>
      </c>
      <c r="C9" s="17" t="s">
        <v>1133</v>
      </c>
      <c r="D9" s="18">
        <f>+B9+15</f>
        <v>40640</v>
      </c>
      <c r="E9" s="19" t="s">
        <v>233</v>
      </c>
      <c r="F9" s="19" t="s">
        <v>1134</v>
      </c>
      <c r="G9" s="21">
        <f>260.78+(260.78*0.02)</f>
        <v>265.99559999999997</v>
      </c>
    </row>
    <row r="10" spans="1:9" ht="15" x14ac:dyDescent="0.3">
      <c r="A10" s="15">
        <v>3</v>
      </c>
      <c r="B10" s="16">
        <v>40624</v>
      </c>
      <c r="C10" s="17" t="s">
        <v>1135</v>
      </c>
      <c r="D10" s="18">
        <f>+B10+15</f>
        <v>40639</v>
      </c>
      <c r="E10" s="19" t="s">
        <v>233</v>
      </c>
      <c r="F10" s="19" t="s">
        <v>1132</v>
      </c>
      <c r="G10" s="21">
        <f>130.39+(130.39*0.02)</f>
        <v>132.99779999999998</v>
      </c>
    </row>
    <row r="11" spans="1:9" ht="15" x14ac:dyDescent="0.3">
      <c r="A11" s="15">
        <v>4</v>
      </c>
      <c r="B11" s="16">
        <v>40604</v>
      </c>
      <c r="C11" s="17" t="s">
        <v>1136</v>
      </c>
      <c r="D11" s="18">
        <f>+B11+15</f>
        <v>40619</v>
      </c>
      <c r="E11" s="19" t="s">
        <v>233</v>
      </c>
      <c r="F11" s="19" t="s">
        <v>1137</v>
      </c>
      <c r="G11" s="21">
        <f>391.17+(391.17*0.02)</f>
        <v>398.99340000000001</v>
      </c>
    </row>
    <row r="12" spans="1:9" ht="15" x14ac:dyDescent="0.3">
      <c r="A12" s="15">
        <v>5</v>
      </c>
      <c r="B12" s="16">
        <v>40620</v>
      </c>
      <c r="C12" s="17" t="s">
        <v>1138</v>
      </c>
      <c r="D12" s="18">
        <f>+B12+15</f>
        <v>40635</v>
      </c>
      <c r="E12" s="19" t="s">
        <v>233</v>
      </c>
      <c r="F12" s="19" t="s">
        <v>1132</v>
      </c>
      <c r="G12" s="21">
        <f>130.39+(130.39*0.02)</f>
        <v>132.99779999999998</v>
      </c>
    </row>
    <row r="13" spans="1:9" ht="15" x14ac:dyDescent="0.3">
      <c r="A13" s="15">
        <v>6</v>
      </c>
      <c r="B13" s="16">
        <v>40598</v>
      </c>
      <c r="C13" s="17" t="s">
        <v>1139</v>
      </c>
      <c r="D13" s="18">
        <f>+B13+30</f>
        <v>40628</v>
      </c>
      <c r="E13" s="19" t="s">
        <v>148</v>
      </c>
      <c r="F13" s="19" t="s">
        <v>1140</v>
      </c>
      <c r="G13" s="21">
        <v>133.28</v>
      </c>
      <c r="I13" s="35"/>
    </row>
    <row r="14" spans="1:9" ht="15" x14ac:dyDescent="0.3">
      <c r="A14" s="15">
        <v>7</v>
      </c>
      <c r="B14" s="16">
        <v>40612</v>
      </c>
      <c r="C14" s="17" t="s">
        <v>1141</v>
      </c>
      <c r="D14" s="18">
        <f>+B14+30</f>
        <v>40642</v>
      </c>
      <c r="E14" s="19" t="s">
        <v>1142</v>
      </c>
      <c r="F14" s="19" t="s">
        <v>1143</v>
      </c>
      <c r="G14" s="21">
        <v>254.34</v>
      </c>
      <c r="I14" s="35"/>
    </row>
    <row r="15" spans="1:9" ht="15" x14ac:dyDescent="0.3">
      <c r="A15" s="15">
        <v>9</v>
      </c>
      <c r="B15" s="16">
        <v>40586</v>
      </c>
      <c r="C15" s="17" t="s">
        <v>1144</v>
      </c>
      <c r="D15" s="18">
        <f>+B15+15</f>
        <v>40601</v>
      </c>
      <c r="E15" s="19" t="s">
        <v>1145</v>
      </c>
      <c r="F15" s="19" t="s">
        <v>1146</v>
      </c>
      <c r="G15" s="21">
        <v>214.2</v>
      </c>
      <c r="I15" s="35"/>
    </row>
    <row r="16" spans="1:9" ht="15" x14ac:dyDescent="0.3">
      <c r="A16" s="15">
        <v>10</v>
      </c>
      <c r="B16" s="16">
        <v>40598</v>
      </c>
      <c r="C16" s="17" t="s">
        <v>1147</v>
      </c>
      <c r="D16" s="18">
        <f>+B16+30</f>
        <v>40628</v>
      </c>
      <c r="E16" s="19" t="s">
        <v>148</v>
      </c>
      <c r="F16" s="19" t="s">
        <v>1148</v>
      </c>
      <c r="G16" s="21">
        <v>2273.3200000000002</v>
      </c>
      <c r="I16" s="35"/>
    </row>
    <row r="17" spans="1:9" ht="15" x14ac:dyDescent="0.3">
      <c r="A17" s="15">
        <v>11</v>
      </c>
      <c r="B17" s="16">
        <v>40619</v>
      </c>
      <c r="C17" s="17" t="s">
        <v>1149</v>
      </c>
      <c r="D17" s="18">
        <f t="shared" ref="D17:D25" si="0">+B17+15</f>
        <v>40634</v>
      </c>
      <c r="E17" s="19" t="s">
        <v>309</v>
      </c>
      <c r="F17" s="19" t="s">
        <v>1150</v>
      </c>
      <c r="G17" s="21">
        <v>226.56</v>
      </c>
      <c r="I17" s="35"/>
    </row>
    <row r="18" spans="1:9" ht="15" x14ac:dyDescent="0.3">
      <c r="A18" s="15">
        <v>12</v>
      </c>
      <c r="B18" s="16">
        <v>40605</v>
      </c>
      <c r="C18" s="17" t="s">
        <v>1151</v>
      </c>
      <c r="D18" s="18">
        <f t="shared" si="0"/>
        <v>40620</v>
      </c>
      <c r="E18" s="19" t="s">
        <v>40</v>
      </c>
      <c r="F18" s="19" t="s">
        <v>1152</v>
      </c>
      <c r="G18" s="21">
        <v>311.99</v>
      </c>
      <c r="I18" s="35"/>
    </row>
    <row r="19" spans="1:9" ht="15" x14ac:dyDescent="0.3">
      <c r="A19" s="15">
        <v>13</v>
      </c>
      <c r="B19" s="16">
        <v>40624</v>
      </c>
      <c r="C19" s="17" t="s">
        <v>1153</v>
      </c>
      <c r="D19" s="18">
        <f t="shared" si="0"/>
        <v>40639</v>
      </c>
      <c r="E19" s="19" t="s">
        <v>783</v>
      </c>
      <c r="F19" s="19" t="s">
        <v>1154</v>
      </c>
      <c r="G19" s="21">
        <v>49.01</v>
      </c>
      <c r="I19" s="35"/>
    </row>
    <row r="20" spans="1:9" ht="15" x14ac:dyDescent="0.3">
      <c r="A20" s="15">
        <v>14</v>
      </c>
      <c r="B20" s="16">
        <v>40620</v>
      </c>
      <c r="C20" s="17" t="s">
        <v>1155</v>
      </c>
      <c r="D20" s="18">
        <f t="shared" si="0"/>
        <v>40635</v>
      </c>
      <c r="E20" s="19" t="s">
        <v>783</v>
      </c>
      <c r="F20" s="19" t="s">
        <v>1156</v>
      </c>
      <c r="G20" s="21">
        <v>98.02</v>
      </c>
      <c r="I20" s="35"/>
    </row>
    <row r="21" spans="1:9" ht="15" x14ac:dyDescent="0.3">
      <c r="A21" s="15">
        <v>15</v>
      </c>
      <c r="B21" s="16">
        <v>40631</v>
      </c>
      <c r="C21" s="17" t="s">
        <v>1157</v>
      </c>
      <c r="D21" s="18">
        <f t="shared" si="0"/>
        <v>40646</v>
      </c>
      <c r="E21" s="19" t="s">
        <v>783</v>
      </c>
      <c r="F21" s="19" t="s">
        <v>1156</v>
      </c>
      <c r="G21" s="21">
        <v>98.02</v>
      </c>
      <c r="I21" s="35"/>
    </row>
    <row r="22" spans="1:9" ht="15" x14ac:dyDescent="0.3">
      <c r="A22" s="15">
        <v>16</v>
      </c>
      <c r="B22" s="16">
        <v>40631</v>
      </c>
      <c r="C22" s="17" t="s">
        <v>1158</v>
      </c>
      <c r="D22" s="18">
        <f t="shared" si="0"/>
        <v>40646</v>
      </c>
      <c r="E22" s="19" t="s">
        <v>783</v>
      </c>
      <c r="F22" s="19" t="s">
        <v>1159</v>
      </c>
      <c r="G22" s="21">
        <v>147.03</v>
      </c>
      <c r="I22" s="35"/>
    </row>
    <row r="23" spans="1:9" ht="15" x14ac:dyDescent="0.3">
      <c r="A23" s="15">
        <v>17</v>
      </c>
      <c r="B23" s="16">
        <v>40626</v>
      </c>
      <c r="C23" s="17" t="s">
        <v>1160</v>
      </c>
      <c r="D23" s="18">
        <f t="shared" si="0"/>
        <v>40641</v>
      </c>
      <c r="E23" s="19" t="s">
        <v>377</v>
      </c>
      <c r="F23" s="19" t="s">
        <v>870</v>
      </c>
      <c r="G23" s="21">
        <v>960</v>
      </c>
      <c r="I23" s="35"/>
    </row>
    <row r="24" spans="1:9" ht="15" x14ac:dyDescent="0.3">
      <c r="A24" s="15">
        <v>18</v>
      </c>
      <c r="B24" s="16">
        <v>40626</v>
      </c>
      <c r="C24" s="17" t="s">
        <v>1161</v>
      </c>
      <c r="D24" s="18">
        <f t="shared" si="0"/>
        <v>40641</v>
      </c>
      <c r="E24" s="19" t="s">
        <v>377</v>
      </c>
      <c r="F24" s="19" t="s">
        <v>870</v>
      </c>
      <c r="G24" s="21">
        <v>1473.6</v>
      </c>
      <c r="I24" s="35"/>
    </row>
    <row r="25" spans="1:9" ht="15" x14ac:dyDescent="0.3">
      <c r="A25" s="15">
        <v>19</v>
      </c>
      <c r="B25" s="16">
        <v>40626</v>
      </c>
      <c r="C25" s="17" t="s">
        <v>1162</v>
      </c>
      <c r="D25" s="18">
        <f t="shared" si="0"/>
        <v>40641</v>
      </c>
      <c r="E25" s="19" t="s">
        <v>377</v>
      </c>
      <c r="F25" s="19" t="s">
        <v>870</v>
      </c>
      <c r="G25" s="21">
        <v>1488</v>
      </c>
      <c r="I25" s="35"/>
    </row>
    <row r="26" spans="1:9" ht="15" x14ac:dyDescent="0.2">
      <c r="A26" s="22"/>
      <c r="B26" s="22"/>
      <c r="C26" s="23"/>
      <c r="D26" s="24"/>
      <c r="E26" s="25"/>
      <c r="F26" s="26" t="s">
        <v>24</v>
      </c>
      <c r="G26" s="36">
        <f>SUM(G8:G25)</f>
        <v>8791.3524000000016</v>
      </c>
    </row>
    <row r="27" spans="1:9" x14ac:dyDescent="0.2">
      <c r="B27" s="35"/>
    </row>
    <row r="28" spans="1:9" x14ac:dyDescent="0.2">
      <c r="B28" s="35"/>
    </row>
    <row r="30" spans="1:9" ht="15" customHeight="1" x14ac:dyDescent="0.3">
      <c r="A30" s="29"/>
      <c r="B30" s="30"/>
      <c r="C30" s="37"/>
      <c r="D30" s="30"/>
      <c r="E30" s="5"/>
      <c r="F30" s="207" t="s">
        <v>0</v>
      </c>
      <c r="G30" s="207"/>
    </row>
    <row r="31" spans="1:9" ht="18.75" x14ac:dyDescent="0.3">
      <c r="A31" s="31" t="s">
        <v>1</v>
      </c>
      <c r="B31" s="29"/>
      <c r="C31" s="37"/>
      <c r="D31" s="30"/>
      <c r="E31" s="5"/>
      <c r="F31" s="29"/>
      <c r="G31" s="29"/>
    </row>
    <row r="32" spans="1:9" ht="15" x14ac:dyDescent="0.3">
      <c r="A32" s="29"/>
      <c r="B32" s="30"/>
      <c r="C32" s="37"/>
      <c r="D32" s="30"/>
      <c r="E32" s="5"/>
      <c r="F32" s="5"/>
      <c r="G32" s="32"/>
    </row>
    <row r="33" spans="1:9" ht="15" x14ac:dyDescent="0.3">
      <c r="A33" s="29"/>
      <c r="B33" s="30"/>
      <c r="C33" s="37"/>
      <c r="D33" s="30"/>
      <c r="E33" s="5"/>
      <c r="F33" s="5"/>
      <c r="G33" s="32"/>
    </row>
    <row r="34" spans="1:9" ht="18" x14ac:dyDescent="0.25">
      <c r="A34" s="208" t="s">
        <v>1163</v>
      </c>
      <c r="B34" s="208"/>
      <c r="C34" s="208"/>
      <c r="D34" s="208"/>
      <c r="E34" s="208"/>
      <c r="F34" s="208"/>
      <c r="G34" s="208"/>
    </row>
    <row r="35" spans="1:9" ht="15" x14ac:dyDescent="0.3">
      <c r="A35" s="29"/>
      <c r="B35" s="9"/>
      <c r="C35" s="9"/>
      <c r="D35" s="9"/>
      <c r="E35" s="9"/>
      <c r="F35" s="10"/>
      <c r="G35" s="11"/>
    </row>
    <row r="36" spans="1:9" x14ac:dyDescent="0.2">
      <c r="A36" s="12" t="s">
        <v>2</v>
      </c>
      <c r="B36" s="12" t="s">
        <v>3</v>
      </c>
      <c r="C36" s="13" t="s">
        <v>4</v>
      </c>
      <c r="D36" s="14" t="s">
        <v>25</v>
      </c>
      <c r="E36" s="13" t="s">
        <v>6</v>
      </c>
      <c r="F36" s="13" t="s">
        <v>7</v>
      </c>
      <c r="G36" s="13" t="s">
        <v>32</v>
      </c>
    </row>
    <row r="37" spans="1:9" ht="30" x14ac:dyDescent="0.3">
      <c r="A37" s="15">
        <v>1</v>
      </c>
      <c r="B37" s="16">
        <v>40617</v>
      </c>
      <c r="C37" s="17" t="s">
        <v>1164</v>
      </c>
      <c r="D37" s="18"/>
      <c r="E37" s="19" t="s">
        <v>1165</v>
      </c>
      <c r="F37" s="19" t="s">
        <v>1166</v>
      </c>
      <c r="G37" s="21">
        <v>425.98</v>
      </c>
      <c r="I37" s="35"/>
    </row>
    <row r="38" spans="1:9" ht="15" x14ac:dyDescent="0.3">
      <c r="A38" s="15">
        <v>2</v>
      </c>
      <c r="B38" s="16">
        <v>40612</v>
      </c>
      <c r="C38" s="17" t="s">
        <v>1167</v>
      </c>
      <c r="D38" s="18"/>
      <c r="E38" s="19" t="s">
        <v>1168</v>
      </c>
      <c r="F38" s="19" t="s">
        <v>1169</v>
      </c>
      <c r="G38" s="21">
        <v>110</v>
      </c>
      <c r="I38" s="35"/>
    </row>
    <row r="39" spans="1:9" ht="30" x14ac:dyDescent="0.3">
      <c r="A39" s="15">
        <v>3</v>
      </c>
      <c r="B39" s="16">
        <v>40619</v>
      </c>
      <c r="C39" s="17" t="s">
        <v>1170</v>
      </c>
      <c r="D39" s="18"/>
      <c r="E39" s="19" t="s">
        <v>1171</v>
      </c>
      <c r="F39" s="19" t="s">
        <v>1172</v>
      </c>
      <c r="G39" s="21">
        <v>165</v>
      </c>
      <c r="I39" s="35"/>
    </row>
    <row r="40" spans="1:9" ht="30" x14ac:dyDescent="0.3">
      <c r="A40" s="15">
        <v>4</v>
      </c>
      <c r="B40" s="16">
        <v>40625</v>
      </c>
      <c r="C40" s="17" t="s">
        <v>1173</v>
      </c>
      <c r="D40" s="18"/>
      <c r="E40" s="19" t="s">
        <v>1174</v>
      </c>
      <c r="F40" s="19" t="s">
        <v>1175</v>
      </c>
      <c r="G40" s="21">
        <v>519.20000000000005</v>
      </c>
      <c r="I40" s="35"/>
    </row>
    <row r="41" spans="1:9" ht="15" x14ac:dyDescent="0.3">
      <c r="A41" s="15">
        <v>5</v>
      </c>
      <c r="B41" s="16">
        <v>40645</v>
      </c>
      <c r="C41" s="17" t="s">
        <v>1066</v>
      </c>
      <c r="D41" s="18" t="s">
        <v>1176</v>
      </c>
      <c r="E41" s="19" t="s">
        <v>1177</v>
      </c>
      <c r="F41" s="19" t="s">
        <v>1178</v>
      </c>
      <c r="G41" s="21">
        <v>2215.92</v>
      </c>
      <c r="I41" s="35"/>
    </row>
    <row r="42" spans="1:9" ht="15" x14ac:dyDescent="0.3">
      <c r="A42" s="15">
        <v>6</v>
      </c>
      <c r="B42" s="16">
        <v>40646</v>
      </c>
      <c r="C42" s="17" t="s">
        <v>29</v>
      </c>
      <c r="D42" s="18" t="s">
        <v>1179</v>
      </c>
      <c r="E42" s="19" t="s">
        <v>245</v>
      </c>
      <c r="F42" s="19" t="s">
        <v>1180</v>
      </c>
      <c r="G42" s="21">
        <v>2985</v>
      </c>
      <c r="I42" s="35"/>
    </row>
    <row r="43" spans="1:9" ht="15" x14ac:dyDescent="0.3">
      <c r="A43" s="15">
        <v>7</v>
      </c>
      <c r="B43" s="16">
        <v>40646</v>
      </c>
      <c r="C43" s="17" t="s">
        <v>29</v>
      </c>
      <c r="D43" s="18" t="s">
        <v>1181</v>
      </c>
      <c r="E43" s="19" t="s">
        <v>245</v>
      </c>
      <c r="F43" s="19" t="s">
        <v>1180</v>
      </c>
      <c r="G43" s="21">
        <v>2015</v>
      </c>
      <c r="I43" s="35"/>
    </row>
    <row r="44" spans="1:9" ht="15" x14ac:dyDescent="0.3">
      <c r="A44" s="15">
        <v>8</v>
      </c>
      <c r="B44" s="16">
        <v>40646</v>
      </c>
      <c r="C44" s="17" t="s">
        <v>29</v>
      </c>
      <c r="D44" s="18" t="s">
        <v>1182</v>
      </c>
      <c r="E44" s="19" t="s">
        <v>245</v>
      </c>
      <c r="F44" s="19" t="s">
        <v>1180</v>
      </c>
      <c r="G44" s="21">
        <v>3385</v>
      </c>
      <c r="I44" s="35"/>
    </row>
    <row r="45" spans="1:9" ht="15" x14ac:dyDescent="0.3">
      <c r="A45" s="15">
        <v>9</v>
      </c>
      <c r="B45" s="16">
        <v>40646</v>
      </c>
      <c r="C45" s="17" t="s">
        <v>29</v>
      </c>
      <c r="D45" s="18" t="s">
        <v>1183</v>
      </c>
      <c r="E45" s="19" t="s">
        <v>245</v>
      </c>
      <c r="F45" s="19" t="s">
        <v>1180</v>
      </c>
      <c r="G45" s="21">
        <v>3488</v>
      </c>
      <c r="I45" s="35"/>
    </row>
    <row r="46" spans="1:9" ht="15" x14ac:dyDescent="0.3">
      <c r="A46" s="15">
        <v>10</v>
      </c>
      <c r="B46" s="16">
        <v>40646</v>
      </c>
      <c r="C46" s="17" t="s">
        <v>29</v>
      </c>
      <c r="D46" s="18" t="s">
        <v>1184</v>
      </c>
      <c r="E46" s="19" t="s">
        <v>245</v>
      </c>
      <c r="F46" s="19" t="s">
        <v>1180</v>
      </c>
      <c r="G46" s="21">
        <v>3127</v>
      </c>
      <c r="I46" s="35"/>
    </row>
    <row r="47" spans="1:9" ht="30" x14ac:dyDescent="0.3">
      <c r="A47" s="15">
        <v>11</v>
      </c>
      <c r="B47" s="16">
        <v>40646</v>
      </c>
      <c r="C47" s="17" t="s">
        <v>29</v>
      </c>
      <c r="D47" s="18" t="s">
        <v>1185</v>
      </c>
      <c r="E47" s="19" t="s">
        <v>1186</v>
      </c>
      <c r="F47" s="20" t="s">
        <v>1187</v>
      </c>
      <c r="G47" s="21">
        <v>5534.23</v>
      </c>
      <c r="H47" s="44"/>
    </row>
    <row r="48" spans="1:9" ht="15" x14ac:dyDescent="0.3">
      <c r="A48" s="15">
        <v>12</v>
      </c>
      <c r="B48" s="16">
        <v>40646</v>
      </c>
      <c r="C48" s="17" t="s">
        <v>29</v>
      </c>
      <c r="D48" s="18" t="s">
        <v>1188</v>
      </c>
      <c r="E48" s="19" t="s">
        <v>1189</v>
      </c>
      <c r="F48" s="20" t="s">
        <v>1190</v>
      </c>
      <c r="G48" s="21">
        <v>1758</v>
      </c>
      <c r="H48" s="44" t="s">
        <v>1191</v>
      </c>
    </row>
    <row r="49" spans="1:8" ht="15" x14ac:dyDescent="0.3">
      <c r="A49" s="15"/>
      <c r="B49" s="16"/>
      <c r="C49" s="17"/>
      <c r="D49" s="18"/>
      <c r="E49" s="19"/>
      <c r="F49" s="20"/>
      <c r="G49" s="21"/>
      <c r="H49" s="44"/>
    </row>
    <row r="50" spans="1:8" ht="15" x14ac:dyDescent="0.3">
      <c r="A50" s="29"/>
      <c r="B50" s="30"/>
      <c r="C50" s="37"/>
      <c r="D50" s="30"/>
      <c r="E50" s="5"/>
      <c r="F50" s="46" t="s">
        <v>24</v>
      </c>
      <c r="G50" s="36">
        <f>SUM(G37:G48)</f>
        <v>25728.329999999998</v>
      </c>
    </row>
    <row r="51" spans="1:8" ht="15" x14ac:dyDescent="0.3">
      <c r="A51" s="29"/>
      <c r="B51" s="30"/>
      <c r="C51" s="37"/>
      <c r="D51" s="30"/>
      <c r="E51" s="5"/>
      <c r="F51" s="55"/>
      <c r="G51" s="56"/>
    </row>
    <row r="52" spans="1:8" ht="15" x14ac:dyDescent="0.3">
      <c r="A52" s="29"/>
      <c r="B52" s="30"/>
      <c r="C52" s="37"/>
      <c r="D52" s="30"/>
      <c r="E52" s="5"/>
      <c r="F52" s="55"/>
      <c r="G52" s="56"/>
    </row>
    <row r="53" spans="1:8" x14ac:dyDescent="0.2">
      <c r="B53" s="35"/>
    </row>
    <row r="54" spans="1:8" ht="18.75" x14ac:dyDescent="0.3">
      <c r="A54" s="209" t="s">
        <v>1</v>
      </c>
      <c r="B54" s="209"/>
      <c r="C54" s="209"/>
      <c r="D54" s="209"/>
      <c r="E54" s="209"/>
      <c r="F54" s="47"/>
      <c r="G54" s="47"/>
    </row>
    <row r="55" spans="1:8" ht="15" x14ac:dyDescent="0.3">
      <c r="A55" s="1"/>
      <c r="B55" s="37"/>
      <c r="C55" s="37"/>
      <c r="D55" s="37"/>
      <c r="E55" s="47"/>
      <c r="F55" s="47"/>
      <c r="G55" s="48"/>
    </row>
    <row r="56" spans="1:8" ht="15" x14ac:dyDescent="0.3">
      <c r="A56" s="1"/>
      <c r="B56" s="37"/>
      <c r="C56" s="37"/>
      <c r="D56" s="37"/>
      <c r="E56" s="47"/>
      <c r="F56" s="47"/>
      <c r="G56" s="48"/>
    </row>
    <row r="57" spans="1:8" ht="18" x14ac:dyDescent="0.25">
      <c r="A57" s="210" t="s">
        <v>1192</v>
      </c>
      <c r="B57" s="210"/>
      <c r="C57" s="210"/>
      <c r="D57" s="210"/>
      <c r="E57" s="210"/>
      <c r="F57" s="210"/>
      <c r="G57" s="210"/>
    </row>
    <row r="58" spans="1:8" ht="15" x14ac:dyDescent="0.3">
      <c r="A58" s="1"/>
      <c r="B58" s="49"/>
      <c r="C58" s="49"/>
      <c r="D58" s="49"/>
      <c r="E58" s="49"/>
      <c r="F58" s="50"/>
      <c r="G58" s="47"/>
    </row>
    <row r="59" spans="1:8" x14ac:dyDescent="0.2">
      <c r="A59" s="51" t="s">
        <v>2</v>
      </c>
      <c r="B59" s="51" t="s">
        <v>3</v>
      </c>
      <c r="C59" s="51" t="s">
        <v>4</v>
      </c>
      <c r="D59" s="51" t="s">
        <v>5</v>
      </c>
      <c r="E59" s="51" t="s">
        <v>6</v>
      </c>
      <c r="F59" s="51" t="s">
        <v>146</v>
      </c>
      <c r="G59" s="13" t="s">
        <v>32</v>
      </c>
    </row>
    <row r="60" spans="1:8" ht="15" x14ac:dyDescent="0.3">
      <c r="A60" s="52">
        <v>1</v>
      </c>
      <c r="B60" s="53">
        <v>40618</v>
      </c>
      <c r="C60" s="17" t="s">
        <v>1193</v>
      </c>
      <c r="D60" s="54">
        <v>40648</v>
      </c>
      <c r="E60" s="19" t="s">
        <v>449</v>
      </c>
      <c r="F60" s="20" t="s">
        <v>1194</v>
      </c>
      <c r="G60" s="21">
        <v>97.17</v>
      </c>
      <c r="H60" s="1"/>
    </row>
    <row r="61" spans="1:8" ht="15" x14ac:dyDescent="0.3">
      <c r="A61" s="1"/>
      <c r="B61" s="37"/>
      <c r="C61" s="37"/>
      <c r="D61" s="37"/>
      <c r="E61" s="47"/>
      <c r="F61" s="51" t="s">
        <v>155</v>
      </c>
      <c r="G61" s="36">
        <f>SUM(G60:G60)</f>
        <v>97.17</v>
      </c>
    </row>
    <row r="62" spans="1:8" ht="15" x14ac:dyDescent="0.3">
      <c r="A62" s="1"/>
      <c r="B62" s="37"/>
      <c r="C62" s="37"/>
      <c r="D62" s="37"/>
      <c r="E62" s="47"/>
      <c r="F62" s="81"/>
      <c r="G62" s="56"/>
    </row>
    <row r="63" spans="1:8" ht="15" x14ac:dyDescent="0.3">
      <c r="A63" s="1"/>
      <c r="B63" s="37"/>
      <c r="C63" s="37"/>
      <c r="D63" s="37"/>
      <c r="E63" s="47"/>
      <c r="F63" s="81"/>
      <c r="G63" s="56"/>
    </row>
    <row r="65" spans="1:9" ht="15" x14ac:dyDescent="0.3">
      <c r="A65" s="29"/>
      <c r="B65" s="30"/>
      <c r="C65" s="37"/>
      <c r="D65" s="30"/>
      <c r="E65" s="5"/>
      <c r="F65" s="55"/>
      <c r="G65" s="56"/>
    </row>
    <row r="66" spans="1:9" ht="15" customHeight="1" x14ac:dyDescent="0.3">
      <c r="A66" s="29"/>
      <c r="B66" s="30"/>
      <c r="C66" s="37"/>
      <c r="D66" s="30"/>
      <c r="E66" s="5"/>
      <c r="F66" s="207" t="s">
        <v>0</v>
      </c>
      <c r="G66" s="207"/>
    </row>
    <row r="67" spans="1:9" ht="18.75" x14ac:dyDescent="0.3">
      <c r="A67" s="31" t="s">
        <v>1</v>
      </c>
      <c r="B67" s="29"/>
      <c r="C67" s="37"/>
      <c r="D67" s="30"/>
      <c r="E67" s="5"/>
      <c r="F67" s="29"/>
      <c r="G67" s="29"/>
    </row>
    <row r="68" spans="1:9" ht="15" x14ac:dyDescent="0.3">
      <c r="A68" s="29"/>
      <c r="B68" s="30"/>
      <c r="C68" s="37"/>
      <c r="D68" s="30"/>
      <c r="E68" s="5"/>
      <c r="F68" s="5"/>
      <c r="G68" s="32"/>
    </row>
    <row r="69" spans="1:9" ht="15" x14ac:dyDescent="0.3">
      <c r="A69" s="29"/>
      <c r="B69" s="30"/>
      <c r="C69" s="37"/>
      <c r="D69" s="30"/>
      <c r="E69" s="5"/>
      <c r="F69" s="5"/>
      <c r="G69" s="32"/>
    </row>
    <row r="70" spans="1:9" ht="18" x14ac:dyDescent="0.25">
      <c r="A70" s="208" t="s">
        <v>1195</v>
      </c>
      <c r="B70" s="208"/>
      <c r="C70" s="208"/>
      <c r="D70" s="208"/>
      <c r="E70" s="208"/>
      <c r="F70" s="208"/>
      <c r="G70" s="208"/>
    </row>
    <row r="71" spans="1:9" ht="18" x14ac:dyDescent="0.25">
      <c r="A71" s="208" t="s">
        <v>157</v>
      </c>
      <c r="B71" s="208"/>
      <c r="C71" s="208"/>
      <c r="D71" s="208"/>
      <c r="E71" s="208"/>
      <c r="F71" s="208"/>
      <c r="G71" s="208"/>
    </row>
    <row r="72" spans="1:9" ht="15" x14ac:dyDescent="0.3">
      <c r="A72" s="29"/>
      <c r="B72" s="9"/>
      <c r="C72" s="9"/>
      <c r="D72" s="9"/>
      <c r="E72" s="9"/>
      <c r="F72" s="10"/>
      <c r="G72" s="11"/>
    </row>
    <row r="73" spans="1:9" x14ac:dyDescent="0.2">
      <c r="A73" s="12" t="s">
        <v>2</v>
      </c>
      <c r="B73" s="12" t="s">
        <v>3</v>
      </c>
      <c r="C73" s="13" t="s">
        <v>4</v>
      </c>
      <c r="D73" s="14" t="s">
        <v>25</v>
      </c>
      <c r="E73" s="13" t="s">
        <v>6</v>
      </c>
      <c r="F73" s="13" t="s">
        <v>7</v>
      </c>
      <c r="G73" s="13" t="s">
        <v>32</v>
      </c>
      <c r="H73" s="13" t="s">
        <v>8</v>
      </c>
    </row>
    <row r="74" spans="1:9" ht="30" x14ac:dyDescent="0.3">
      <c r="A74" s="15">
        <v>1</v>
      </c>
      <c r="B74" s="16">
        <v>40642</v>
      </c>
      <c r="C74" s="17" t="s">
        <v>1066</v>
      </c>
      <c r="D74" s="18" t="s">
        <v>1196</v>
      </c>
      <c r="E74" s="19" t="s">
        <v>1197</v>
      </c>
      <c r="F74" s="20" t="s">
        <v>1198</v>
      </c>
      <c r="G74" s="21">
        <v>15039.12</v>
      </c>
      <c r="H74" s="21"/>
    </row>
    <row r="75" spans="1:9" ht="30" x14ac:dyDescent="0.3">
      <c r="A75" s="15">
        <v>2</v>
      </c>
      <c r="B75" s="16">
        <v>40642</v>
      </c>
      <c r="C75" s="17" t="s">
        <v>1066</v>
      </c>
      <c r="D75" s="18" t="s">
        <v>1199</v>
      </c>
      <c r="E75" s="19" t="s">
        <v>1197</v>
      </c>
      <c r="F75" s="20" t="s">
        <v>1200</v>
      </c>
      <c r="G75" s="21">
        <v>3453.49</v>
      </c>
      <c r="H75" s="21"/>
    </row>
    <row r="76" spans="1:9" ht="30" x14ac:dyDescent="0.3">
      <c r="A76" s="15">
        <v>3</v>
      </c>
      <c r="B76" s="16">
        <v>40642</v>
      </c>
      <c r="C76" s="17" t="s">
        <v>1066</v>
      </c>
      <c r="D76" s="18" t="s">
        <v>1201</v>
      </c>
      <c r="E76" s="19" t="s">
        <v>1202</v>
      </c>
      <c r="F76" s="20" t="s">
        <v>1203</v>
      </c>
      <c r="G76" s="21">
        <v>20498.95</v>
      </c>
      <c r="H76" s="21"/>
    </row>
    <row r="77" spans="1:9" ht="30" x14ac:dyDescent="0.3">
      <c r="A77" s="15">
        <v>4</v>
      </c>
      <c r="B77" s="16">
        <v>40642</v>
      </c>
      <c r="C77" s="17" t="s">
        <v>1066</v>
      </c>
      <c r="D77" s="18" t="s">
        <v>1204</v>
      </c>
      <c r="E77" s="19" t="s">
        <v>1202</v>
      </c>
      <c r="F77" s="20" t="s">
        <v>1205</v>
      </c>
      <c r="G77" s="21">
        <v>4706.75</v>
      </c>
      <c r="H77" s="21"/>
    </row>
    <row r="78" spans="1:9" ht="30" x14ac:dyDescent="0.3">
      <c r="A78" s="15">
        <v>5</v>
      </c>
      <c r="B78" s="16">
        <v>40647</v>
      </c>
      <c r="C78" s="17" t="s">
        <v>1066</v>
      </c>
      <c r="D78" s="18" t="s">
        <v>1206</v>
      </c>
      <c r="E78" s="19" t="s">
        <v>1207</v>
      </c>
      <c r="F78" s="20" t="s">
        <v>1208</v>
      </c>
      <c r="G78" s="21"/>
      <c r="H78" s="21">
        <v>139.5</v>
      </c>
      <c r="I78" t="s">
        <v>1191</v>
      </c>
    </row>
    <row r="79" spans="1:9" ht="15" x14ac:dyDescent="0.3">
      <c r="A79" s="15">
        <v>5</v>
      </c>
      <c r="B79" s="16"/>
      <c r="C79" s="17"/>
      <c r="D79" s="18"/>
      <c r="E79" s="19"/>
      <c r="F79" s="20"/>
      <c r="G79" s="21"/>
      <c r="H79" s="21"/>
    </row>
    <row r="80" spans="1:9" ht="15" x14ac:dyDescent="0.3">
      <c r="A80" s="29"/>
      <c r="B80" s="30"/>
      <c r="C80" s="37"/>
      <c r="D80" s="30"/>
      <c r="E80" s="5"/>
      <c r="F80" s="46" t="s">
        <v>24</v>
      </c>
      <c r="G80" s="36">
        <f>SUM(G74:G79)</f>
        <v>43698.31</v>
      </c>
      <c r="H80" s="27">
        <f>SUM(H74:H79)</f>
        <v>139.5</v>
      </c>
    </row>
    <row r="88" spans="1:7" x14ac:dyDescent="0.2">
      <c r="A88" s="211" t="s">
        <v>609</v>
      </c>
      <c r="B88" s="211"/>
      <c r="C88" s="211"/>
      <c r="D88" s="211"/>
      <c r="E88" s="211"/>
      <c r="F88" s="211"/>
      <c r="G88" s="211"/>
    </row>
    <row r="89" spans="1:7" x14ac:dyDescent="0.2">
      <c r="A89" s="211"/>
      <c r="B89" s="211"/>
      <c r="C89" s="211"/>
      <c r="D89" s="211"/>
      <c r="E89" s="211"/>
      <c r="F89" s="211"/>
      <c r="G89" s="211"/>
    </row>
    <row r="90" spans="1:7" x14ac:dyDescent="0.2">
      <c r="A90" s="211"/>
      <c r="B90" s="211"/>
      <c r="C90" s="211"/>
      <c r="D90" s="211"/>
      <c r="E90" s="211"/>
      <c r="F90" s="211"/>
      <c r="G90" s="211"/>
    </row>
    <row r="91" spans="1:7" x14ac:dyDescent="0.2">
      <c r="B91" s="35"/>
    </row>
    <row r="92" spans="1:7" ht="15" customHeight="1" x14ac:dyDescent="0.3">
      <c r="A92" s="1"/>
      <c r="B92" s="2"/>
      <c r="C92" s="3"/>
      <c r="D92" s="4"/>
      <c r="E92" s="5"/>
      <c r="F92" s="207" t="s">
        <v>0</v>
      </c>
      <c r="G92" s="207"/>
    </row>
    <row r="93" spans="1:7" ht="18.75" x14ac:dyDescent="0.3">
      <c r="A93" s="7" t="s">
        <v>1</v>
      </c>
      <c r="B93" s="7"/>
      <c r="C93" s="3"/>
      <c r="D93" s="4"/>
      <c r="E93" s="5"/>
      <c r="F93" s="5"/>
      <c r="G93" s="8"/>
    </row>
    <row r="94" spans="1:7" ht="15" x14ac:dyDescent="0.3">
      <c r="A94" s="1"/>
      <c r="B94" s="2"/>
      <c r="C94" s="3"/>
      <c r="D94" s="4"/>
      <c r="E94" s="5"/>
      <c r="F94" s="5"/>
      <c r="G94" s="8"/>
    </row>
    <row r="95" spans="1:7" ht="15" x14ac:dyDescent="0.3">
      <c r="A95" s="1"/>
      <c r="B95" s="2"/>
      <c r="C95" s="3"/>
      <c r="D95" s="4"/>
      <c r="E95" s="5"/>
      <c r="F95" s="5"/>
      <c r="G95" s="8"/>
    </row>
    <row r="96" spans="1:7" ht="18" x14ac:dyDescent="0.25">
      <c r="A96" s="208" t="s">
        <v>1041</v>
      </c>
      <c r="B96" s="208"/>
      <c r="C96" s="208"/>
      <c r="D96" s="208"/>
      <c r="E96" s="208"/>
      <c r="F96" s="208"/>
      <c r="G96" s="208"/>
    </row>
    <row r="97" spans="1:7" ht="15" x14ac:dyDescent="0.3">
      <c r="A97" s="1"/>
      <c r="B97" s="9"/>
      <c r="C97" s="9"/>
      <c r="D97" s="9"/>
      <c r="E97" s="9"/>
      <c r="F97" s="10"/>
      <c r="G97" s="11"/>
    </row>
    <row r="98" spans="1:7" x14ac:dyDescent="0.2">
      <c r="A98" s="12" t="s">
        <v>2</v>
      </c>
      <c r="B98" s="12" t="s">
        <v>3</v>
      </c>
      <c r="C98" s="13" t="s">
        <v>4</v>
      </c>
      <c r="D98" s="14" t="s">
        <v>5</v>
      </c>
      <c r="E98" s="13" t="s">
        <v>6</v>
      </c>
      <c r="F98" s="13" t="s">
        <v>7</v>
      </c>
      <c r="G98" s="13" t="s">
        <v>32</v>
      </c>
    </row>
    <row r="99" spans="1:7" ht="15" x14ac:dyDescent="0.3">
      <c r="A99" s="15"/>
      <c r="B99" s="16"/>
      <c r="C99" s="17"/>
      <c r="D99" s="18"/>
      <c r="E99" s="19"/>
      <c r="F99" s="19"/>
      <c r="G99" s="21"/>
    </row>
    <row r="100" spans="1:7" ht="15" x14ac:dyDescent="0.3">
      <c r="A100" s="15"/>
      <c r="B100" s="16"/>
      <c r="C100" s="17"/>
      <c r="D100" s="18"/>
      <c r="E100" s="19"/>
      <c r="F100" s="19"/>
      <c r="G100" s="21"/>
    </row>
    <row r="101" spans="1:7" ht="15" x14ac:dyDescent="0.3">
      <c r="A101" s="15"/>
      <c r="B101" s="16"/>
      <c r="C101" s="17"/>
      <c r="D101" s="18"/>
      <c r="E101" s="19"/>
      <c r="F101" s="19"/>
      <c r="G101" s="21"/>
    </row>
    <row r="102" spans="1:7" ht="15" x14ac:dyDescent="0.2">
      <c r="A102" s="22"/>
      <c r="B102" s="22"/>
      <c r="C102" s="23"/>
      <c r="D102" s="24"/>
      <c r="E102" s="25"/>
      <c r="F102" s="26" t="s">
        <v>24</v>
      </c>
      <c r="G102" s="36">
        <f>SUM(G99:G101)</f>
        <v>0</v>
      </c>
    </row>
    <row r="103" spans="1:7" x14ac:dyDescent="0.2">
      <c r="B103" s="35"/>
    </row>
    <row r="104" spans="1:7" x14ac:dyDescent="0.2">
      <c r="B104" s="35"/>
    </row>
    <row r="105" spans="1:7" x14ac:dyDescent="0.2">
      <c r="B105" s="35"/>
    </row>
    <row r="108" spans="1:7" ht="15" customHeight="1" x14ac:dyDescent="0.3">
      <c r="A108" s="29"/>
      <c r="B108" s="30"/>
      <c r="C108" s="37"/>
      <c r="D108" s="30"/>
      <c r="E108" s="5"/>
      <c r="F108" s="207" t="s">
        <v>0</v>
      </c>
      <c r="G108" s="207"/>
    </row>
    <row r="109" spans="1:7" ht="18.75" x14ac:dyDescent="0.3">
      <c r="A109" s="31" t="s">
        <v>1</v>
      </c>
      <c r="B109" s="29"/>
      <c r="C109" s="37"/>
      <c r="D109" s="30"/>
      <c r="E109" s="5"/>
      <c r="F109" s="29"/>
      <c r="G109" s="29"/>
    </row>
    <row r="110" spans="1:7" ht="15" x14ac:dyDescent="0.3">
      <c r="A110" s="29"/>
      <c r="B110" s="30"/>
      <c r="C110" s="37"/>
      <c r="D110" s="30"/>
      <c r="E110" s="5"/>
      <c r="F110" s="5"/>
      <c r="G110" s="32"/>
    </row>
    <row r="111" spans="1:7" ht="15" x14ac:dyDescent="0.3">
      <c r="A111" s="29"/>
      <c r="B111" s="30"/>
      <c r="C111" s="37"/>
      <c r="D111" s="30"/>
      <c r="E111" s="5"/>
      <c r="F111" s="5"/>
      <c r="G111" s="32"/>
    </row>
    <row r="112" spans="1:7" ht="18" x14ac:dyDescent="0.25">
      <c r="A112" s="208" t="s">
        <v>1048</v>
      </c>
      <c r="B112" s="208"/>
      <c r="C112" s="208"/>
      <c r="D112" s="208"/>
      <c r="E112" s="208"/>
      <c r="F112" s="208"/>
      <c r="G112" s="208"/>
    </row>
    <row r="113" spans="1:9" ht="15" x14ac:dyDescent="0.3">
      <c r="A113" s="29"/>
      <c r="B113" s="9"/>
      <c r="C113" s="9"/>
      <c r="D113" s="9"/>
      <c r="E113" s="9"/>
      <c r="F113" s="10"/>
      <c r="G113" s="11"/>
    </row>
    <row r="114" spans="1:9" x14ac:dyDescent="0.2">
      <c r="A114" s="12" t="s">
        <v>2</v>
      </c>
      <c r="B114" s="12" t="s">
        <v>3</v>
      </c>
      <c r="C114" s="13" t="s">
        <v>4</v>
      </c>
      <c r="D114" s="14" t="s">
        <v>25</v>
      </c>
      <c r="E114" s="13" t="s">
        <v>6</v>
      </c>
      <c r="F114" s="13" t="s">
        <v>7</v>
      </c>
      <c r="G114" s="13" t="s">
        <v>32</v>
      </c>
      <c r="H114" s="13" t="s">
        <v>8</v>
      </c>
    </row>
    <row r="115" spans="1:9" ht="15" x14ac:dyDescent="0.3">
      <c r="A115" s="15">
        <v>1</v>
      </c>
      <c r="B115" s="16">
        <v>40644</v>
      </c>
      <c r="C115" s="17" t="s">
        <v>1066</v>
      </c>
      <c r="D115" s="18" t="s">
        <v>1209</v>
      </c>
      <c r="E115" s="19" t="s">
        <v>1210</v>
      </c>
      <c r="F115" s="19" t="s">
        <v>1211</v>
      </c>
      <c r="G115" s="21">
        <v>5739.89</v>
      </c>
      <c r="H115" s="86"/>
      <c r="I115" s="35"/>
    </row>
    <row r="116" spans="1:9" ht="15" x14ac:dyDescent="0.3">
      <c r="A116" s="15">
        <v>2</v>
      </c>
      <c r="B116" s="16">
        <v>40644</v>
      </c>
      <c r="C116" s="17" t="s">
        <v>1066</v>
      </c>
      <c r="D116" s="18" t="s">
        <v>1212</v>
      </c>
      <c r="E116" s="19" t="s">
        <v>1210</v>
      </c>
      <c r="F116" s="19" t="s">
        <v>1213</v>
      </c>
      <c r="G116" s="21">
        <v>28678.33</v>
      </c>
      <c r="H116" s="86"/>
    </row>
    <row r="117" spans="1:9" ht="15" x14ac:dyDescent="0.3">
      <c r="A117" s="15">
        <v>3</v>
      </c>
      <c r="B117" s="16">
        <v>40644</v>
      </c>
      <c r="C117" s="17" t="s">
        <v>1066</v>
      </c>
      <c r="D117" s="18" t="s">
        <v>1209</v>
      </c>
      <c r="E117" s="19" t="s">
        <v>1210</v>
      </c>
      <c r="F117" s="19" t="s">
        <v>1213</v>
      </c>
      <c r="G117" s="21"/>
      <c r="H117" s="21">
        <v>903.68</v>
      </c>
    </row>
    <row r="118" spans="1:9" ht="15" x14ac:dyDescent="0.3">
      <c r="A118" s="15">
        <v>4</v>
      </c>
      <c r="B118" s="16">
        <v>40644</v>
      </c>
      <c r="C118" s="17" t="s">
        <v>1066</v>
      </c>
      <c r="D118" s="18" t="s">
        <v>1214</v>
      </c>
      <c r="E118" s="19" t="s">
        <v>1210</v>
      </c>
      <c r="F118" s="19" t="s">
        <v>1211</v>
      </c>
      <c r="H118" s="21">
        <v>218.68</v>
      </c>
    </row>
    <row r="119" spans="1:9" ht="15" x14ac:dyDescent="0.3">
      <c r="A119" s="29"/>
      <c r="B119" s="30"/>
      <c r="C119" s="37"/>
      <c r="D119" s="30"/>
      <c r="E119" s="5"/>
      <c r="F119" s="46" t="s">
        <v>24</v>
      </c>
      <c r="G119" s="36">
        <f>SUM(G115:G116)</f>
        <v>34418.22</v>
      </c>
      <c r="H119" s="27">
        <f>SUM(H117:H118)</f>
        <v>1122.3599999999999</v>
      </c>
    </row>
    <row r="120" spans="1:9" x14ac:dyDescent="0.2">
      <c r="B120" s="35"/>
    </row>
  </sheetData>
  <sheetProtection selectLockedCells="1" selectUnlockedCells="1"/>
  <mergeCells count="14">
    <mergeCell ref="A57:G57"/>
    <mergeCell ref="F108:G108"/>
    <mergeCell ref="A112:G112"/>
    <mergeCell ref="F66:G66"/>
    <mergeCell ref="A70:G70"/>
    <mergeCell ref="A71:G71"/>
    <mergeCell ref="A88:G90"/>
    <mergeCell ref="F92:G92"/>
    <mergeCell ref="A96:G96"/>
    <mergeCell ref="F1:G1"/>
    <mergeCell ref="A5:G5"/>
    <mergeCell ref="F30:G30"/>
    <mergeCell ref="A34:G34"/>
    <mergeCell ref="A54:E54"/>
  </mergeCells>
  <pageMargins left="0.70833333333333337" right="0.70833333333333337" top="0.74791666666666667" bottom="0.74791666666666667" header="0.51180555555555551" footer="0.51180555555555551"/>
  <pageSetup scale="64" firstPageNumber="0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pageSetUpPr fitToPage="1"/>
  </sheetPr>
  <dimension ref="A1:I44"/>
  <sheetViews>
    <sheetView workbookViewId="0">
      <selection activeCell="A88" sqref="A88"/>
    </sheetView>
  </sheetViews>
  <sheetFormatPr baseColWidth="10" defaultColWidth="10.7109375" defaultRowHeight="12.75" x14ac:dyDescent="0.2"/>
  <cols>
    <col min="1" max="1" width="3.5703125" customWidth="1"/>
    <col min="2" max="2" width="13.28515625" customWidth="1"/>
    <col min="3" max="3" width="16.7109375" customWidth="1"/>
    <col min="4" max="4" width="13.140625" customWidth="1"/>
    <col min="5" max="5" width="52.5703125" customWidth="1"/>
    <col min="6" max="6" width="39.42578125" customWidth="1"/>
    <col min="7" max="7" width="15.42578125" customWidth="1"/>
  </cols>
  <sheetData>
    <row r="1" spans="1:9" ht="15" customHeight="1" x14ac:dyDescent="0.3">
      <c r="A1" s="1"/>
      <c r="B1" s="2"/>
      <c r="C1" s="3"/>
      <c r="D1" s="4"/>
      <c r="E1" s="5"/>
      <c r="F1" s="207" t="s">
        <v>0</v>
      </c>
      <c r="G1" s="207"/>
    </row>
    <row r="2" spans="1:9" ht="18.75" x14ac:dyDescent="0.3">
      <c r="A2" s="7" t="s">
        <v>1</v>
      </c>
      <c r="B2" s="7"/>
      <c r="C2" s="3"/>
      <c r="D2" s="4"/>
      <c r="E2" s="5"/>
      <c r="F2" s="5"/>
      <c r="G2" s="8"/>
    </row>
    <row r="3" spans="1:9" ht="15" x14ac:dyDescent="0.3">
      <c r="A3" s="1"/>
      <c r="B3" s="2"/>
      <c r="C3" s="3"/>
      <c r="D3" s="4"/>
      <c r="E3" s="5"/>
      <c r="F3" s="5"/>
      <c r="G3" s="8"/>
    </row>
    <row r="4" spans="1:9" ht="15" x14ac:dyDescent="0.3">
      <c r="A4" s="1"/>
      <c r="B4" s="2"/>
      <c r="C4" s="3"/>
      <c r="D4" s="4"/>
      <c r="E4" s="5"/>
      <c r="F4" s="5"/>
      <c r="G4" s="8"/>
    </row>
    <row r="5" spans="1:9" ht="18" x14ac:dyDescent="0.25">
      <c r="A5" s="208" t="s">
        <v>1215</v>
      </c>
      <c r="B5" s="208"/>
      <c r="C5" s="208"/>
      <c r="D5" s="208"/>
      <c r="E5" s="208"/>
      <c r="F5" s="208"/>
      <c r="G5" s="208"/>
    </row>
    <row r="6" spans="1:9" ht="15" x14ac:dyDescent="0.3">
      <c r="A6" s="1"/>
      <c r="B6" s="9"/>
      <c r="C6" s="9"/>
      <c r="D6" s="9"/>
      <c r="E6" s="9"/>
      <c r="F6" s="10"/>
      <c r="G6" s="11"/>
    </row>
    <row r="7" spans="1:9" x14ac:dyDescent="0.2">
      <c r="A7" s="12" t="s">
        <v>2</v>
      </c>
      <c r="B7" s="12" t="s">
        <v>3</v>
      </c>
      <c r="C7" s="13" t="s">
        <v>4</v>
      </c>
      <c r="D7" s="14" t="s">
        <v>5</v>
      </c>
      <c r="E7" s="13" t="s">
        <v>6</v>
      </c>
      <c r="F7" s="13" t="s">
        <v>7</v>
      </c>
      <c r="G7" s="13" t="s">
        <v>8</v>
      </c>
    </row>
    <row r="8" spans="1:9" ht="30" x14ac:dyDescent="0.3">
      <c r="A8" s="15">
        <v>1</v>
      </c>
      <c r="B8" s="16">
        <v>40644</v>
      </c>
      <c r="C8" s="17" t="s">
        <v>1216</v>
      </c>
      <c r="D8" s="18">
        <f>+B8+4</f>
        <v>40648</v>
      </c>
      <c r="E8" s="19" t="s">
        <v>1217</v>
      </c>
      <c r="F8" s="19" t="s">
        <v>1218</v>
      </c>
      <c r="G8" s="21">
        <v>36.46</v>
      </c>
      <c r="I8" s="35">
        <v>40627</v>
      </c>
    </row>
    <row r="9" spans="1:9" ht="15" x14ac:dyDescent="0.3">
      <c r="A9" s="15">
        <v>2</v>
      </c>
      <c r="B9" s="16">
        <v>40625</v>
      </c>
      <c r="C9" s="17" t="s">
        <v>1219</v>
      </c>
      <c r="D9" s="18">
        <f>+B9+15</f>
        <v>40640</v>
      </c>
      <c r="E9" s="19" t="s">
        <v>1220</v>
      </c>
      <c r="F9" s="19" t="s">
        <v>21</v>
      </c>
      <c r="G9" s="21">
        <v>35.4</v>
      </c>
      <c r="I9" s="35"/>
    </row>
    <row r="10" spans="1:9" ht="15" x14ac:dyDescent="0.3">
      <c r="A10" s="15">
        <v>3</v>
      </c>
      <c r="B10" s="16">
        <v>40623</v>
      </c>
      <c r="C10" s="17" t="s">
        <v>1221</v>
      </c>
      <c r="D10" s="18">
        <f>+B10+15</f>
        <v>40638</v>
      </c>
      <c r="E10" s="19" t="s">
        <v>492</v>
      </c>
      <c r="F10" s="19" t="s">
        <v>1222</v>
      </c>
      <c r="G10" s="21">
        <v>233.64</v>
      </c>
      <c r="I10" s="35"/>
    </row>
    <row r="11" spans="1:9" ht="15" x14ac:dyDescent="0.3">
      <c r="A11" s="15">
        <v>4</v>
      </c>
      <c r="B11" s="16">
        <v>40632</v>
      </c>
      <c r="C11" s="17" t="s">
        <v>1223</v>
      </c>
      <c r="D11" s="18">
        <f>+B11+15</f>
        <v>40647</v>
      </c>
      <c r="E11" s="19" t="s">
        <v>17</v>
      </c>
      <c r="F11" s="19" t="s">
        <v>1224</v>
      </c>
      <c r="G11" s="21">
        <v>211.69</v>
      </c>
      <c r="I11" s="35"/>
    </row>
    <row r="12" spans="1:9" ht="15" x14ac:dyDescent="0.3">
      <c r="A12" s="15">
        <v>5</v>
      </c>
      <c r="B12" s="16">
        <v>40627</v>
      </c>
      <c r="C12" s="17" t="s">
        <v>1225</v>
      </c>
      <c r="D12" s="18">
        <f>+B12</f>
        <v>40627</v>
      </c>
      <c r="E12" s="19" t="s">
        <v>199</v>
      </c>
      <c r="F12" s="19" t="s">
        <v>1226</v>
      </c>
      <c r="G12" s="21">
        <v>212.4</v>
      </c>
      <c r="I12" s="35"/>
    </row>
    <row r="13" spans="1:9" ht="15" x14ac:dyDescent="0.3">
      <c r="A13" s="15">
        <v>6</v>
      </c>
      <c r="B13" s="16">
        <v>40619</v>
      </c>
      <c r="C13" s="17" t="s">
        <v>1227</v>
      </c>
      <c r="D13" s="18">
        <f>+B13+15</f>
        <v>40634</v>
      </c>
      <c r="E13" s="19" t="s">
        <v>309</v>
      </c>
      <c r="F13" s="19" t="s">
        <v>1228</v>
      </c>
      <c r="G13" s="21">
        <v>106.2</v>
      </c>
      <c r="I13" s="35"/>
    </row>
    <row r="14" spans="1:9" ht="15" x14ac:dyDescent="0.3">
      <c r="A14" s="15">
        <v>7</v>
      </c>
      <c r="B14" s="16">
        <v>40625</v>
      </c>
      <c r="C14" s="17" t="s">
        <v>1229</v>
      </c>
      <c r="D14" s="18">
        <f>+B14+15</f>
        <v>40640</v>
      </c>
      <c r="E14" s="19" t="s">
        <v>675</v>
      </c>
      <c r="F14" s="19" t="s">
        <v>1230</v>
      </c>
      <c r="G14" s="21">
        <v>388.69</v>
      </c>
      <c r="I14" s="35"/>
    </row>
    <row r="15" spans="1:9" ht="15" x14ac:dyDescent="0.2">
      <c r="A15" s="22"/>
      <c r="B15" s="22"/>
      <c r="C15" s="23"/>
      <c r="D15" s="24"/>
      <c r="E15" s="25"/>
      <c r="F15" s="26" t="s">
        <v>24</v>
      </c>
      <c r="G15" s="27">
        <f>SUM(G8:G14)</f>
        <v>1224.48</v>
      </c>
    </row>
    <row r="16" spans="1:9" ht="15" x14ac:dyDescent="0.3">
      <c r="A16" s="1"/>
      <c r="B16" s="28"/>
      <c r="C16" s="1"/>
      <c r="D16" s="1"/>
      <c r="E16" s="1"/>
      <c r="F16" s="5"/>
      <c r="G16" s="11"/>
    </row>
    <row r="17" spans="1:8" x14ac:dyDescent="0.2">
      <c r="B17" s="35"/>
    </row>
    <row r="18" spans="1:8" x14ac:dyDescent="0.2">
      <c r="B18" s="35"/>
    </row>
    <row r="20" spans="1:8" ht="15" customHeight="1" x14ac:dyDescent="0.3">
      <c r="A20" s="29"/>
      <c r="B20" s="30"/>
      <c r="C20" s="37"/>
      <c r="D20" s="30"/>
      <c r="E20" s="5"/>
      <c r="F20" s="207" t="s">
        <v>0</v>
      </c>
      <c r="G20" s="207"/>
    </row>
    <row r="21" spans="1:8" ht="18.75" x14ac:dyDescent="0.3">
      <c r="A21" s="31" t="s">
        <v>1</v>
      </c>
      <c r="B21" s="29"/>
      <c r="C21" s="37"/>
      <c r="D21" s="30"/>
      <c r="E21" s="5"/>
      <c r="F21" s="29"/>
      <c r="G21" s="29"/>
    </row>
    <row r="22" spans="1:8" ht="15" x14ac:dyDescent="0.3">
      <c r="A22" s="29"/>
      <c r="B22" s="30"/>
      <c r="C22" s="37"/>
      <c r="D22" s="30"/>
      <c r="E22" s="5"/>
      <c r="F22" s="5"/>
      <c r="G22" s="32"/>
    </row>
    <row r="23" spans="1:8" ht="15" x14ac:dyDescent="0.3">
      <c r="A23" s="29"/>
      <c r="B23" s="30"/>
      <c r="C23" s="37"/>
      <c r="D23" s="30"/>
      <c r="E23" s="5"/>
      <c r="F23" s="5"/>
      <c r="G23" s="32"/>
    </row>
    <row r="24" spans="1:8" ht="18" x14ac:dyDescent="0.25">
      <c r="A24" s="208" t="s">
        <v>1231</v>
      </c>
      <c r="B24" s="208"/>
      <c r="C24" s="208"/>
      <c r="D24" s="208"/>
      <c r="E24" s="208"/>
      <c r="F24" s="208"/>
      <c r="G24" s="208"/>
    </row>
    <row r="25" spans="1:8" ht="15" x14ac:dyDescent="0.3">
      <c r="A25" s="29"/>
      <c r="B25" s="9"/>
      <c r="C25" s="9"/>
      <c r="D25" s="9"/>
      <c r="E25" s="9"/>
      <c r="F25" s="10"/>
      <c r="G25" s="11"/>
    </row>
    <row r="26" spans="1:8" x14ac:dyDescent="0.2">
      <c r="A26" s="12" t="s">
        <v>2</v>
      </c>
      <c r="B26" s="12" t="s">
        <v>3</v>
      </c>
      <c r="C26" s="13" t="s">
        <v>4</v>
      </c>
      <c r="D26" s="14" t="s">
        <v>25</v>
      </c>
      <c r="E26" s="13" t="s">
        <v>6</v>
      </c>
      <c r="F26" s="13" t="s">
        <v>7</v>
      </c>
      <c r="G26" s="13" t="s">
        <v>8</v>
      </c>
    </row>
    <row r="27" spans="1:8" ht="15" x14ac:dyDescent="0.3">
      <c r="A27" s="15">
        <v>1</v>
      </c>
      <c r="B27" s="16">
        <v>40640</v>
      </c>
      <c r="C27" s="33" t="s">
        <v>1232</v>
      </c>
      <c r="D27" s="18"/>
      <c r="E27" s="19" t="s">
        <v>1233</v>
      </c>
      <c r="F27" s="20" t="s">
        <v>89</v>
      </c>
      <c r="G27" s="21">
        <v>14160</v>
      </c>
      <c r="H27" t="s">
        <v>27</v>
      </c>
    </row>
    <row r="28" spans="1:8" ht="15" x14ac:dyDescent="0.3">
      <c r="A28" s="15"/>
      <c r="B28" s="16"/>
      <c r="C28" s="33"/>
      <c r="D28" s="18"/>
      <c r="E28" s="19"/>
      <c r="F28" s="20"/>
      <c r="G28" s="21"/>
    </row>
    <row r="29" spans="1:8" ht="15" x14ac:dyDescent="0.3">
      <c r="A29" s="29"/>
      <c r="B29" s="30"/>
      <c r="C29" s="37"/>
      <c r="D29" s="30"/>
      <c r="E29" s="5"/>
      <c r="F29" s="26" t="s">
        <v>24</v>
      </c>
      <c r="G29" s="27">
        <f>SUM(G27:G27)</f>
        <v>14160</v>
      </c>
    </row>
    <row r="36" spans="1:8" ht="15" customHeight="1" x14ac:dyDescent="0.3">
      <c r="A36" s="1"/>
      <c r="B36" s="37"/>
      <c r="C36" s="37"/>
      <c r="D36" s="37"/>
      <c r="E36" s="47"/>
      <c r="F36" s="212" t="s">
        <v>0</v>
      </c>
      <c r="G36" s="212"/>
    </row>
    <row r="37" spans="1:8" ht="18.75" x14ac:dyDescent="0.3">
      <c r="A37" s="209" t="s">
        <v>1</v>
      </c>
      <c r="B37" s="209"/>
      <c r="C37" s="209"/>
      <c r="D37" s="209"/>
      <c r="E37" s="209"/>
      <c r="F37" s="47"/>
      <c r="G37" s="47"/>
    </row>
    <row r="38" spans="1:8" ht="15" x14ac:dyDescent="0.3">
      <c r="A38" s="1"/>
      <c r="B38" s="37"/>
      <c r="C38" s="37"/>
      <c r="D38" s="37"/>
      <c r="E38" s="47"/>
      <c r="F38" s="47"/>
      <c r="G38" s="48"/>
    </row>
    <row r="39" spans="1:8" ht="15" x14ac:dyDescent="0.3">
      <c r="A39" s="1"/>
      <c r="B39" s="37"/>
      <c r="C39" s="37"/>
      <c r="D39" s="37"/>
      <c r="E39" s="47"/>
      <c r="F39" s="47"/>
      <c r="G39" s="48"/>
    </row>
    <row r="40" spans="1:8" ht="18" x14ac:dyDescent="0.25">
      <c r="A40" s="210" t="s">
        <v>1234</v>
      </c>
      <c r="B40" s="210"/>
      <c r="C40" s="210"/>
      <c r="D40" s="210"/>
      <c r="E40" s="210"/>
      <c r="F40" s="210"/>
      <c r="G40" s="210"/>
    </row>
    <row r="41" spans="1:8" ht="15" x14ac:dyDescent="0.3">
      <c r="A41" s="1"/>
      <c r="B41" s="49"/>
      <c r="C41" s="49"/>
      <c r="D41" s="49"/>
      <c r="E41" s="49"/>
      <c r="F41" s="50"/>
      <c r="G41" s="47"/>
    </row>
    <row r="42" spans="1:8" x14ac:dyDescent="0.2">
      <c r="A42" s="51" t="s">
        <v>2</v>
      </c>
      <c r="B42" s="51" t="s">
        <v>3</v>
      </c>
      <c r="C42" s="51" t="s">
        <v>4</v>
      </c>
      <c r="D42" s="51" t="s">
        <v>5</v>
      </c>
      <c r="E42" s="51" t="s">
        <v>6</v>
      </c>
      <c r="F42" s="51" t="s">
        <v>146</v>
      </c>
      <c r="G42" s="13" t="s">
        <v>8</v>
      </c>
    </row>
    <row r="43" spans="1:8" s="1" customFormat="1" ht="30" x14ac:dyDescent="0.3">
      <c r="A43" s="15">
        <v>1</v>
      </c>
      <c r="B43" s="16">
        <v>40609</v>
      </c>
      <c r="C43" s="33" t="s">
        <v>1113</v>
      </c>
      <c r="D43" s="73">
        <f>+B43+30</f>
        <v>40639</v>
      </c>
      <c r="E43" s="19" t="s">
        <v>1114</v>
      </c>
      <c r="F43" s="19" t="s">
        <v>306</v>
      </c>
      <c r="G43" s="82">
        <v>18937.82</v>
      </c>
      <c r="H43" s="1" t="s">
        <v>1115</v>
      </c>
    </row>
    <row r="44" spans="1:8" ht="15" x14ac:dyDescent="0.3">
      <c r="A44" s="1"/>
      <c r="B44" s="37"/>
      <c r="C44" s="37"/>
      <c r="D44" s="37"/>
      <c r="E44" s="47"/>
      <c r="F44" s="51" t="s">
        <v>155</v>
      </c>
      <c r="G44" s="27">
        <f>SUM(G43:G43)</f>
        <v>18937.82</v>
      </c>
    </row>
  </sheetData>
  <sheetProtection selectLockedCells="1" selectUnlockedCells="1"/>
  <mergeCells count="7">
    <mergeCell ref="A40:G40"/>
    <mergeCell ref="F1:G1"/>
    <mergeCell ref="A5:G5"/>
    <mergeCell ref="F20:G20"/>
    <mergeCell ref="A24:G24"/>
    <mergeCell ref="F36:G36"/>
    <mergeCell ref="A37:E37"/>
  </mergeCells>
  <pageMargins left="0.70833333333333337" right="0.70833333333333337" top="0.74791666666666667" bottom="0.74791666666666667" header="0.51180555555555551" footer="0.51180555555555551"/>
  <pageSetup scale="59" firstPageNumber="0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pageSetUpPr fitToPage="1"/>
  </sheetPr>
  <dimension ref="A1:N117"/>
  <sheetViews>
    <sheetView workbookViewId="0">
      <selection activeCell="A86" sqref="A86"/>
    </sheetView>
  </sheetViews>
  <sheetFormatPr baseColWidth="10" defaultColWidth="10.7109375" defaultRowHeight="12.75" x14ac:dyDescent="0.2"/>
  <cols>
    <col min="1" max="1" width="4.7109375" customWidth="1"/>
    <col min="2" max="2" width="12.28515625" customWidth="1"/>
    <col min="3" max="3" width="19" customWidth="1"/>
    <col min="4" max="4" width="19.42578125" customWidth="1"/>
    <col min="5" max="5" width="44.5703125" customWidth="1"/>
    <col min="6" max="6" width="38.5703125" customWidth="1"/>
    <col min="7" max="7" width="14.42578125" customWidth="1"/>
    <col min="8" max="8" width="11.85546875" customWidth="1"/>
  </cols>
  <sheetData>
    <row r="1" spans="1:9" ht="15" customHeight="1" x14ac:dyDescent="0.3">
      <c r="A1" s="1"/>
      <c r="B1" s="2"/>
      <c r="C1" s="3"/>
      <c r="D1" s="4"/>
      <c r="E1" s="5"/>
      <c r="F1" s="207" t="s">
        <v>0</v>
      </c>
      <c r="G1" s="207"/>
    </row>
    <row r="2" spans="1:9" ht="18.75" x14ac:dyDescent="0.3">
      <c r="A2" s="7" t="s">
        <v>1</v>
      </c>
      <c r="B2" s="7"/>
      <c r="C2" s="3"/>
      <c r="D2" s="4"/>
      <c r="E2" s="5"/>
      <c r="F2" s="5"/>
      <c r="G2" s="8"/>
    </row>
    <row r="3" spans="1:9" ht="15" x14ac:dyDescent="0.3">
      <c r="A3" s="1"/>
      <c r="B3" s="2"/>
      <c r="C3" s="3"/>
      <c r="D3" s="4"/>
      <c r="E3" s="5"/>
      <c r="F3" s="5"/>
      <c r="G3" s="8"/>
    </row>
    <row r="4" spans="1:9" ht="15" x14ac:dyDescent="0.3">
      <c r="A4" s="1"/>
      <c r="B4" s="2"/>
      <c r="C4" s="3"/>
      <c r="D4" s="4"/>
      <c r="E4" s="5"/>
      <c r="F4" s="5"/>
      <c r="G4" s="8"/>
    </row>
    <row r="5" spans="1:9" ht="18" x14ac:dyDescent="0.25">
      <c r="A5" s="208" t="s">
        <v>1235</v>
      </c>
      <c r="B5" s="208"/>
      <c r="C5" s="208"/>
      <c r="D5" s="208"/>
      <c r="E5" s="208"/>
      <c r="F5" s="208"/>
      <c r="G5" s="208"/>
    </row>
    <row r="6" spans="1:9" ht="15" x14ac:dyDescent="0.3">
      <c r="A6" s="1"/>
      <c r="B6" s="9"/>
      <c r="C6" s="9"/>
      <c r="D6" s="9"/>
      <c r="E6" s="9"/>
      <c r="F6" s="10"/>
      <c r="G6" s="11"/>
    </row>
    <row r="7" spans="1:9" x14ac:dyDescent="0.2">
      <c r="A7" s="12" t="s">
        <v>2</v>
      </c>
      <c r="B7" s="12" t="s">
        <v>3</v>
      </c>
      <c r="C7" s="13" t="s">
        <v>4</v>
      </c>
      <c r="D7" s="14" t="s">
        <v>5</v>
      </c>
      <c r="E7" s="13" t="s">
        <v>6</v>
      </c>
      <c r="F7" s="13" t="s">
        <v>7</v>
      </c>
      <c r="G7" s="13" t="s">
        <v>32</v>
      </c>
    </row>
    <row r="8" spans="1:9" ht="15" x14ac:dyDescent="0.3">
      <c r="A8" s="15">
        <v>1</v>
      </c>
      <c r="B8" s="16">
        <v>40617</v>
      </c>
      <c r="C8" s="17" t="s">
        <v>1164</v>
      </c>
      <c r="D8" s="18">
        <f>+B8</f>
        <v>40617</v>
      </c>
      <c r="E8" s="19" t="s">
        <v>1165</v>
      </c>
      <c r="F8" s="19" t="s">
        <v>1236</v>
      </c>
      <c r="G8" s="21">
        <v>425.98</v>
      </c>
    </row>
    <row r="9" spans="1:9" ht="15" x14ac:dyDescent="0.3">
      <c r="A9" s="15">
        <v>2</v>
      </c>
      <c r="B9" s="16">
        <v>40624</v>
      </c>
      <c r="C9" s="17" t="s">
        <v>1237</v>
      </c>
      <c r="D9" s="18">
        <f>+B9+15</f>
        <v>40639</v>
      </c>
      <c r="E9" s="19" t="s">
        <v>17</v>
      </c>
      <c r="F9" s="19" t="s">
        <v>1238</v>
      </c>
      <c r="G9" s="21">
        <v>660.8</v>
      </c>
    </row>
    <row r="10" spans="1:9" ht="15" x14ac:dyDescent="0.3">
      <c r="A10" s="15">
        <v>3</v>
      </c>
      <c r="B10" s="16">
        <v>40630</v>
      </c>
      <c r="C10" s="17" t="s">
        <v>1239</v>
      </c>
      <c r="D10" s="18">
        <f>+B10+15</f>
        <v>40645</v>
      </c>
      <c r="E10" s="19" t="s">
        <v>17</v>
      </c>
      <c r="F10" s="19" t="s">
        <v>1240</v>
      </c>
      <c r="G10" s="21">
        <v>448.4</v>
      </c>
    </row>
    <row r="11" spans="1:9" ht="15" x14ac:dyDescent="0.3">
      <c r="A11" s="15">
        <v>4</v>
      </c>
      <c r="B11" s="16">
        <v>40591</v>
      </c>
      <c r="C11" s="17" t="s">
        <v>1241</v>
      </c>
      <c r="D11" s="18">
        <f>+B11+30</f>
        <v>40621</v>
      </c>
      <c r="E11" s="19" t="s">
        <v>1142</v>
      </c>
      <c r="F11" s="19" t="s">
        <v>1242</v>
      </c>
      <c r="G11" s="21">
        <f>690.87+(690.87*0.02)</f>
        <v>704.68740000000003</v>
      </c>
    </row>
    <row r="12" spans="1:9" ht="15" x14ac:dyDescent="0.3">
      <c r="A12" s="15">
        <v>5</v>
      </c>
      <c r="B12" s="16">
        <v>40605</v>
      </c>
      <c r="C12" s="17" t="s">
        <v>1243</v>
      </c>
      <c r="D12" s="18">
        <f>+B12+30</f>
        <v>40635</v>
      </c>
      <c r="E12" s="19" t="s">
        <v>1142</v>
      </c>
      <c r="F12" s="19" t="s">
        <v>1242</v>
      </c>
      <c r="G12" s="21">
        <f>214.13+(214.13*0.02)</f>
        <v>218.4126</v>
      </c>
    </row>
    <row r="13" spans="1:9" ht="15" x14ac:dyDescent="0.3">
      <c r="A13" s="15">
        <v>6</v>
      </c>
      <c r="B13" s="16">
        <v>40592</v>
      </c>
      <c r="C13" s="17" t="s">
        <v>1244</v>
      </c>
      <c r="D13" s="18">
        <f>+B13+30</f>
        <v>40622</v>
      </c>
      <c r="E13" s="19" t="s">
        <v>1142</v>
      </c>
      <c r="F13" s="19" t="s">
        <v>1242</v>
      </c>
      <c r="G13" s="21">
        <f>1514.39+(1514.39*0.02)</f>
        <v>1544.6778000000002</v>
      </c>
      <c r="I13" s="35"/>
    </row>
    <row r="14" spans="1:9" ht="15" x14ac:dyDescent="0.3">
      <c r="A14" s="15">
        <v>9</v>
      </c>
      <c r="B14" s="16">
        <v>40628</v>
      </c>
      <c r="C14" s="17" t="s">
        <v>1245</v>
      </c>
      <c r="D14" s="18">
        <f t="shared" ref="D14:D24" si="0">+B14+15</f>
        <v>40643</v>
      </c>
      <c r="E14" s="19" t="s">
        <v>787</v>
      </c>
      <c r="F14" s="19" t="s">
        <v>1246</v>
      </c>
      <c r="G14" s="21">
        <v>153</v>
      </c>
      <c r="I14" s="35"/>
    </row>
    <row r="15" spans="1:9" ht="15" x14ac:dyDescent="0.3">
      <c r="A15" s="15">
        <v>10</v>
      </c>
      <c r="B15" s="16">
        <v>40619</v>
      </c>
      <c r="C15" s="17" t="s">
        <v>1247</v>
      </c>
      <c r="D15" s="18">
        <f t="shared" si="0"/>
        <v>40634</v>
      </c>
      <c r="E15" s="19" t="s">
        <v>787</v>
      </c>
      <c r="F15" s="19" t="s">
        <v>1246</v>
      </c>
      <c r="G15" s="21">
        <v>153</v>
      </c>
      <c r="I15" s="35"/>
    </row>
    <row r="16" spans="1:9" ht="15" x14ac:dyDescent="0.3">
      <c r="A16" s="15">
        <v>12</v>
      </c>
      <c r="B16" s="16">
        <v>40628</v>
      </c>
      <c r="C16" s="17" t="s">
        <v>1248</v>
      </c>
      <c r="D16" s="18">
        <f t="shared" si="0"/>
        <v>40643</v>
      </c>
      <c r="E16" s="19" t="s">
        <v>787</v>
      </c>
      <c r="F16" s="19" t="s">
        <v>1246</v>
      </c>
      <c r="G16" s="21">
        <v>153</v>
      </c>
      <c r="I16" s="35"/>
    </row>
    <row r="17" spans="1:9" ht="15" x14ac:dyDescent="0.3">
      <c r="A17" s="15">
        <v>13</v>
      </c>
      <c r="B17" s="16">
        <v>40637</v>
      </c>
      <c r="C17" s="17" t="s">
        <v>1249</v>
      </c>
      <c r="D17" s="18">
        <f t="shared" si="0"/>
        <v>40652</v>
      </c>
      <c r="E17" s="19" t="s">
        <v>309</v>
      </c>
      <c r="F17" s="19" t="s">
        <v>1250</v>
      </c>
      <c r="G17" s="21">
        <v>339.84</v>
      </c>
      <c r="I17" s="35"/>
    </row>
    <row r="18" spans="1:9" ht="15" x14ac:dyDescent="0.3">
      <c r="A18" s="15">
        <v>15</v>
      </c>
      <c r="B18" s="16">
        <v>40639</v>
      </c>
      <c r="C18" s="17" t="s">
        <v>1251</v>
      </c>
      <c r="D18" s="18">
        <f t="shared" si="0"/>
        <v>40654</v>
      </c>
      <c r="E18" s="19" t="s">
        <v>1252</v>
      </c>
      <c r="F18" s="19" t="s">
        <v>1253</v>
      </c>
      <c r="G18" s="21">
        <v>319.8</v>
      </c>
      <c r="I18" s="35"/>
    </row>
    <row r="19" spans="1:9" ht="30" x14ac:dyDescent="0.3">
      <c r="A19" s="15">
        <v>16</v>
      </c>
      <c r="B19" s="16">
        <v>40630</v>
      </c>
      <c r="C19" s="17" t="s">
        <v>1254</v>
      </c>
      <c r="D19" s="18">
        <f t="shared" si="0"/>
        <v>40645</v>
      </c>
      <c r="E19" s="19" t="s">
        <v>1255</v>
      </c>
      <c r="F19" s="19" t="s">
        <v>1256</v>
      </c>
      <c r="G19" s="21">
        <v>89.18</v>
      </c>
      <c r="I19" s="35"/>
    </row>
    <row r="20" spans="1:9" ht="30" x14ac:dyDescent="0.3">
      <c r="A20" s="15">
        <v>17</v>
      </c>
      <c r="B20" s="16">
        <v>40630</v>
      </c>
      <c r="C20" s="17" t="s">
        <v>1257</v>
      </c>
      <c r="D20" s="18">
        <f t="shared" si="0"/>
        <v>40645</v>
      </c>
      <c r="E20" s="19" t="s">
        <v>1255</v>
      </c>
      <c r="F20" s="19" t="s">
        <v>1256</v>
      </c>
      <c r="G20" s="21">
        <v>231.87</v>
      </c>
      <c r="I20" s="35"/>
    </row>
    <row r="21" spans="1:9" ht="15" x14ac:dyDescent="0.3">
      <c r="A21" s="15">
        <v>18</v>
      </c>
      <c r="B21" s="16">
        <v>40633</v>
      </c>
      <c r="C21" s="17" t="s">
        <v>1258</v>
      </c>
      <c r="D21" s="18">
        <f t="shared" si="0"/>
        <v>40648</v>
      </c>
      <c r="E21" s="19" t="s">
        <v>1259</v>
      </c>
      <c r="F21" s="19" t="s">
        <v>1260</v>
      </c>
      <c r="G21" s="21">
        <v>232.74</v>
      </c>
      <c r="I21" s="35"/>
    </row>
    <row r="22" spans="1:9" ht="15" x14ac:dyDescent="0.3">
      <c r="A22" s="15">
        <v>19</v>
      </c>
      <c r="B22" s="16">
        <v>40632</v>
      </c>
      <c r="C22" s="17" t="s">
        <v>1261</v>
      </c>
      <c r="D22" s="18">
        <f t="shared" si="0"/>
        <v>40647</v>
      </c>
      <c r="E22" s="19" t="s">
        <v>808</v>
      </c>
      <c r="F22" s="19" t="s">
        <v>1262</v>
      </c>
      <c r="G22" s="21">
        <f>260.78+(260.78*0.02)</f>
        <v>265.99559999999997</v>
      </c>
      <c r="I22" s="35"/>
    </row>
    <row r="23" spans="1:9" ht="15" x14ac:dyDescent="0.3">
      <c r="A23" s="15">
        <v>20</v>
      </c>
      <c r="B23" s="16">
        <v>40634</v>
      </c>
      <c r="C23" s="17" t="s">
        <v>1263</v>
      </c>
      <c r="D23" s="18">
        <f t="shared" si="0"/>
        <v>40649</v>
      </c>
      <c r="E23" s="19" t="s">
        <v>783</v>
      </c>
      <c r="F23" s="19" t="s">
        <v>1264</v>
      </c>
      <c r="G23" s="21">
        <v>147.03</v>
      </c>
      <c r="I23" s="35"/>
    </row>
    <row r="24" spans="1:9" ht="15" x14ac:dyDescent="0.3">
      <c r="A24" s="15">
        <v>21</v>
      </c>
      <c r="B24" s="16">
        <v>40638</v>
      </c>
      <c r="C24" s="17" t="s">
        <v>1265</v>
      </c>
      <c r="D24" s="18">
        <f t="shared" si="0"/>
        <v>40653</v>
      </c>
      <c r="E24" s="19" t="s">
        <v>783</v>
      </c>
      <c r="F24" s="19" t="s">
        <v>1266</v>
      </c>
      <c r="G24" s="21">
        <v>98.02</v>
      </c>
      <c r="I24" s="35"/>
    </row>
    <row r="25" spans="1:9" ht="15" x14ac:dyDescent="0.3">
      <c r="A25" s="15">
        <v>23</v>
      </c>
      <c r="B25" s="16"/>
      <c r="C25" s="17"/>
      <c r="D25" s="18"/>
      <c r="E25" s="19"/>
      <c r="F25" s="19"/>
      <c r="G25" s="21"/>
      <c r="I25" s="35"/>
    </row>
    <row r="26" spans="1:9" ht="15" x14ac:dyDescent="0.2">
      <c r="A26" s="22"/>
      <c r="B26" s="22"/>
      <c r="C26" s="23"/>
      <c r="D26" s="24"/>
      <c r="E26" s="25"/>
      <c r="F26" s="26" t="s">
        <v>24</v>
      </c>
      <c r="G26" s="36">
        <f>SUM(G8:G25)</f>
        <v>6186.4334000000008</v>
      </c>
    </row>
    <row r="27" spans="1:9" x14ac:dyDescent="0.2">
      <c r="B27" s="35"/>
    </row>
    <row r="28" spans="1:9" x14ac:dyDescent="0.2">
      <c r="B28" s="35"/>
    </row>
    <row r="30" spans="1:9" ht="15" customHeight="1" x14ac:dyDescent="0.3">
      <c r="A30" s="29"/>
      <c r="B30" s="30"/>
      <c r="C30" s="37"/>
      <c r="D30" s="30"/>
      <c r="E30" s="5"/>
      <c r="F30" s="207" t="s">
        <v>0</v>
      </c>
      <c r="G30" s="207"/>
    </row>
    <row r="31" spans="1:9" ht="18.75" x14ac:dyDescent="0.3">
      <c r="A31" s="31" t="s">
        <v>1</v>
      </c>
      <c r="B31" s="29"/>
      <c r="C31" s="37"/>
      <c r="D31" s="30"/>
      <c r="E31" s="5"/>
      <c r="F31" s="29"/>
      <c r="G31" s="29"/>
    </row>
    <row r="32" spans="1:9" ht="15" x14ac:dyDescent="0.3">
      <c r="A32" s="29"/>
      <c r="B32" s="30"/>
      <c r="C32" s="37"/>
      <c r="D32" s="30"/>
      <c r="E32" s="5"/>
      <c r="F32" s="5"/>
      <c r="G32" s="32"/>
    </row>
    <row r="33" spans="1:14" ht="15" x14ac:dyDescent="0.3">
      <c r="A33" s="29"/>
      <c r="B33" s="30"/>
      <c r="C33" s="37"/>
      <c r="D33" s="30"/>
      <c r="E33" s="5"/>
      <c r="F33" s="5"/>
      <c r="G33" s="32"/>
    </row>
    <row r="34" spans="1:14" ht="18" x14ac:dyDescent="0.25">
      <c r="A34" s="208" t="s">
        <v>1267</v>
      </c>
      <c r="B34" s="208"/>
      <c r="C34" s="208"/>
      <c r="D34" s="208"/>
      <c r="E34" s="208"/>
      <c r="F34" s="208"/>
      <c r="G34" s="208"/>
    </row>
    <row r="35" spans="1:14" ht="15" x14ac:dyDescent="0.3">
      <c r="A35" s="29"/>
      <c r="B35" s="9"/>
      <c r="C35" s="9"/>
      <c r="D35" s="9"/>
      <c r="E35" s="9"/>
      <c r="F35" s="10"/>
      <c r="G35" s="11"/>
    </row>
    <row r="36" spans="1:14" x14ac:dyDescent="0.2">
      <c r="A36" s="12" t="s">
        <v>2</v>
      </c>
      <c r="B36" s="12" t="s">
        <v>3</v>
      </c>
      <c r="C36" s="13" t="s">
        <v>4</v>
      </c>
      <c r="D36" s="14" t="s">
        <v>25</v>
      </c>
      <c r="E36" s="13" t="s">
        <v>6</v>
      </c>
      <c r="F36" s="13" t="s">
        <v>7</v>
      </c>
      <c r="G36" s="13" t="s">
        <v>32</v>
      </c>
    </row>
    <row r="37" spans="1:14" ht="15" x14ac:dyDescent="0.3">
      <c r="A37" s="15">
        <v>1</v>
      </c>
      <c r="B37" s="16">
        <v>40612</v>
      </c>
      <c r="C37" s="17" t="s">
        <v>1268</v>
      </c>
      <c r="D37" s="18" t="s">
        <v>1269</v>
      </c>
      <c r="E37" s="19" t="s">
        <v>1168</v>
      </c>
      <c r="F37" s="19" t="s">
        <v>1169</v>
      </c>
      <c r="G37" s="21">
        <v>110</v>
      </c>
      <c r="H37" s="1" t="s">
        <v>1270</v>
      </c>
      <c r="I37" s="35"/>
    </row>
    <row r="38" spans="1:14" ht="15" x14ac:dyDescent="0.3">
      <c r="A38" s="15">
        <v>2</v>
      </c>
      <c r="B38" s="16">
        <v>40625</v>
      </c>
      <c r="C38" s="17" t="s">
        <v>1271</v>
      </c>
      <c r="D38" s="18" t="s">
        <v>1272</v>
      </c>
      <c r="E38" s="19" t="s">
        <v>1174</v>
      </c>
      <c r="F38" s="19" t="s">
        <v>1175</v>
      </c>
      <c r="G38" s="21">
        <v>519.20000000000005</v>
      </c>
      <c r="H38" s="1" t="s">
        <v>1270</v>
      </c>
      <c r="I38" s="35"/>
    </row>
    <row r="39" spans="1:14" ht="15" x14ac:dyDescent="0.3">
      <c r="A39" s="15">
        <v>3</v>
      </c>
      <c r="B39" s="16">
        <v>40591</v>
      </c>
      <c r="C39" s="17" t="s">
        <v>1273</v>
      </c>
      <c r="D39" s="18" t="s">
        <v>1274</v>
      </c>
      <c r="E39" s="19" t="s">
        <v>1275</v>
      </c>
      <c r="F39" s="19" t="s">
        <v>1276</v>
      </c>
      <c r="G39" s="21">
        <v>142.80000000000001</v>
      </c>
      <c r="H39" s="1" t="s">
        <v>1270</v>
      </c>
      <c r="I39" s="35"/>
    </row>
    <row r="40" spans="1:14" ht="15" x14ac:dyDescent="0.3">
      <c r="A40" s="15">
        <v>5</v>
      </c>
      <c r="B40" s="16">
        <v>40638</v>
      </c>
      <c r="C40" s="17" t="s">
        <v>1277</v>
      </c>
      <c r="D40" s="18" t="s">
        <v>1278</v>
      </c>
      <c r="E40" s="19" t="s">
        <v>1279</v>
      </c>
      <c r="F40" s="19" t="s">
        <v>1280</v>
      </c>
      <c r="G40" s="21">
        <v>472</v>
      </c>
      <c r="H40" s="1" t="s">
        <v>1270</v>
      </c>
      <c r="I40" s="35"/>
    </row>
    <row r="41" spans="1:14" ht="15" x14ac:dyDescent="0.3">
      <c r="A41" s="61">
        <v>6</v>
      </c>
      <c r="B41" s="62">
        <v>40626</v>
      </c>
      <c r="C41" s="63" t="s">
        <v>1281</v>
      </c>
      <c r="D41" s="64" t="s">
        <v>1282</v>
      </c>
      <c r="E41" s="65" t="s">
        <v>1283</v>
      </c>
      <c r="F41" s="65" t="s">
        <v>1284</v>
      </c>
      <c r="G41" s="67">
        <v>302.08</v>
      </c>
      <c r="H41" s="87" t="s">
        <v>1270</v>
      </c>
      <c r="I41" s="80" t="s">
        <v>1285</v>
      </c>
      <c r="J41" s="78"/>
      <c r="K41" s="78"/>
      <c r="L41" s="78"/>
      <c r="M41" s="78"/>
      <c r="N41" s="78"/>
    </row>
    <row r="42" spans="1:14" ht="15" x14ac:dyDescent="0.3">
      <c r="A42" s="15">
        <v>7</v>
      </c>
      <c r="B42" s="16">
        <v>40627</v>
      </c>
      <c r="C42" s="17" t="s">
        <v>1286</v>
      </c>
      <c r="D42" s="18" t="s">
        <v>1287</v>
      </c>
      <c r="E42" s="19" t="s">
        <v>1288</v>
      </c>
      <c r="F42" s="19" t="s">
        <v>1289</v>
      </c>
      <c r="G42" s="21">
        <v>236</v>
      </c>
      <c r="H42" s="1" t="s">
        <v>1270</v>
      </c>
      <c r="I42" s="35"/>
    </row>
    <row r="43" spans="1:14" ht="15" x14ac:dyDescent="0.3">
      <c r="A43" s="15">
        <v>8</v>
      </c>
      <c r="B43" s="16">
        <v>40644</v>
      </c>
      <c r="C43" s="17" t="s">
        <v>1290</v>
      </c>
      <c r="D43" s="18" t="s">
        <v>1291</v>
      </c>
      <c r="E43" s="19" t="s">
        <v>1292</v>
      </c>
      <c r="F43" s="19" t="s">
        <v>1293</v>
      </c>
      <c r="G43" s="21">
        <v>2200</v>
      </c>
      <c r="H43" s="1" t="s">
        <v>1270</v>
      </c>
      <c r="I43" s="35"/>
    </row>
    <row r="44" spans="1:14" ht="15" x14ac:dyDescent="0.3">
      <c r="A44" s="15">
        <v>9</v>
      </c>
      <c r="B44" s="16">
        <v>40618</v>
      </c>
      <c r="C44" s="17" t="s">
        <v>1294</v>
      </c>
      <c r="D44" s="18" t="s">
        <v>1295</v>
      </c>
      <c r="E44" s="19" t="s">
        <v>611</v>
      </c>
      <c r="F44" s="20" t="s">
        <v>989</v>
      </c>
      <c r="G44" s="21">
        <v>2399.98</v>
      </c>
      <c r="H44" s="1" t="s">
        <v>1270</v>
      </c>
    </row>
    <row r="45" spans="1:14" ht="15" x14ac:dyDescent="0.3">
      <c r="A45" s="15">
        <v>10</v>
      </c>
      <c r="B45" s="16">
        <v>40651</v>
      </c>
      <c r="C45" s="17" t="s">
        <v>1070</v>
      </c>
      <c r="D45" s="18" t="s">
        <v>1296</v>
      </c>
      <c r="E45" s="19" t="s">
        <v>260</v>
      </c>
      <c r="F45" s="20" t="s">
        <v>1297</v>
      </c>
      <c r="G45" s="21">
        <v>1425.31</v>
      </c>
      <c r="H45" s="1" t="s">
        <v>1270</v>
      </c>
    </row>
    <row r="46" spans="1:14" ht="15" x14ac:dyDescent="0.3">
      <c r="A46" s="61">
        <v>11</v>
      </c>
      <c r="B46" s="62">
        <v>40651</v>
      </c>
      <c r="C46" s="63" t="s">
        <v>1298</v>
      </c>
      <c r="D46" s="64" t="s">
        <v>1299</v>
      </c>
      <c r="E46" s="65" t="s">
        <v>582</v>
      </c>
      <c r="F46" s="66" t="s">
        <v>1300</v>
      </c>
      <c r="G46" s="67">
        <v>48372</v>
      </c>
      <c r="H46" s="87" t="s">
        <v>1270</v>
      </c>
      <c r="I46" s="78"/>
    </row>
    <row r="47" spans="1:14" ht="15" x14ac:dyDescent="0.3">
      <c r="A47" s="61">
        <v>12</v>
      </c>
      <c r="B47" s="62">
        <v>40651</v>
      </c>
      <c r="C47" s="63" t="s">
        <v>1298</v>
      </c>
      <c r="D47" s="64" t="s">
        <v>1301</v>
      </c>
      <c r="E47" s="65" t="s">
        <v>582</v>
      </c>
      <c r="F47" s="66" t="s">
        <v>1302</v>
      </c>
      <c r="G47" s="67">
        <v>20706</v>
      </c>
      <c r="H47" s="79" t="s">
        <v>1270</v>
      </c>
      <c r="I47" s="78"/>
    </row>
    <row r="48" spans="1:14" ht="15" x14ac:dyDescent="0.3">
      <c r="A48" s="29"/>
      <c r="B48" s="30"/>
      <c r="C48" s="37"/>
      <c r="D48" s="30"/>
      <c r="E48" s="5"/>
      <c r="F48" s="46" t="s">
        <v>24</v>
      </c>
      <c r="G48" s="36">
        <f>SUM(G37:G47)</f>
        <v>76885.37</v>
      </c>
    </row>
    <row r="49" spans="1:8" ht="15" x14ac:dyDescent="0.3">
      <c r="A49" s="29"/>
      <c r="B49" s="30"/>
      <c r="C49" s="37"/>
      <c r="D49" s="30"/>
      <c r="E49" s="5"/>
      <c r="F49" s="55"/>
      <c r="G49" s="56"/>
    </row>
    <row r="50" spans="1:8" ht="15" x14ac:dyDescent="0.3">
      <c r="A50" s="29"/>
      <c r="B50" s="30"/>
      <c r="C50" s="37"/>
      <c r="D50" s="30"/>
      <c r="E50" s="5"/>
      <c r="F50" s="55"/>
      <c r="G50" s="56"/>
    </row>
    <row r="51" spans="1:8" x14ac:dyDescent="0.2">
      <c r="B51" s="35"/>
    </row>
    <row r="52" spans="1:8" ht="18.75" x14ac:dyDescent="0.3">
      <c r="A52" s="209" t="s">
        <v>1</v>
      </c>
      <c r="B52" s="209"/>
      <c r="C52" s="209"/>
      <c r="D52" s="209"/>
      <c r="E52" s="209"/>
      <c r="F52" s="47"/>
      <c r="G52" s="47"/>
    </row>
    <row r="53" spans="1:8" ht="15" x14ac:dyDescent="0.3">
      <c r="A53" s="1"/>
      <c r="B53" s="37"/>
      <c r="C53" s="37"/>
      <c r="D53" s="37"/>
      <c r="E53" s="47"/>
      <c r="F53" s="47"/>
      <c r="G53" s="48"/>
    </row>
    <row r="54" spans="1:8" ht="15" x14ac:dyDescent="0.3">
      <c r="A54" s="1"/>
      <c r="B54" s="37"/>
      <c r="C54" s="37"/>
      <c r="D54" s="37"/>
      <c r="E54" s="47"/>
      <c r="F54" s="47"/>
      <c r="G54" s="48"/>
    </row>
    <row r="55" spans="1:8" ht="18" x14ac:dyDescent="0.25">
      <c r="A55" s="210" t="s">
        <v>1303</v>
      </c>
      <c r="B55" s="210"/>
      <c r="C55" s="210"/>
      <c r="D55" s="210"/>
      <c r="E55" s="210"/>
      <c r="F55" s="210"/>
      <c r="G55" s="210"/>
    </row>
    <row r="56" spans="1:8" ht="15" x14ac:dyDescent="0.3">
      <c r="A56" s="1"/>
      <c r="B56" s="49"/>
      <c r="C56" s="49"/>
      <c r="D56" s="49"/>
      <c r="E56" s="49"/>
      <c r="F56" s="50"/>
      <c r="G56" s="47"/>
    </row>
    <row r="57" spans="1:8" x14ac:dyDescent="0.2">
      <c r="A57" s="51" t="s">
        <v>2</v>
      </c>
      <c r="B57" s="51" t="s">
        <v>3</v>
      </c>
      <c r="C57" s="51" t="s">
        <v>4</v>
      </c>
      <c r="D57" s="51" t="s">
        <v>5</v>
      </c>
      <c r="E57" s="51" t="s">
        <v>6</v>
      </c>
      <c r="F57" s="51" t="s">
        <v>146</v>
      </c>
      <c r="G57" s="13" t="s">
        <v>32</v>
      </c>
    </row>
    <row r="58" spans="1:8" ht="15" x14ac:dyDescent="0.3">
      <c r="A58" s="52">
        <v>1</v>
      </c>
      <c r="B58" s="53">
        <v>40618</v>
      </c>
      <c r="C58" s="17" t="s">
        <v>1193</v>
      </c>
      <c r="D58" s="54">
        <v>40648</v>
      </c>
      <c r="E58" s="19" t="s">
        <v>449</v>
      </c>
      <c r="F58" s="20" t="s">
        <v>1194</v>
      </c>
      <c r="G58" s="21">
        <v>97.17</v>
      </c>
      <c r="H58" s="1" t="s">
        <v>1270</v>
      </c>
    </row>
    <row r="59" spans="1:8" ht="15" x14ac:dyDescent="0.3">
      <c r="A59" s="1"/>
      <c r="B59" s="37"/>
      <c r="C59" s="37"/>
      <c r="D59" s="37"/>
      <c r="E59" s="47"/>
      <c r="F59" s="51" t="s">
        <v>155</v>
      </c>
      <c r="G59" s="36">
        <f>SUM(G58:G58)</f>
        <v>97.17</v>
      </c>
    </row>
    <row r="60" spans="1:8" ht="15" x14ac:dyDescent="0.3">
      <c r="A60" s="1"/>
      <c r="B60" s="37"/>
      <c r="C60" s="37"/>
      <c r="D60" s="37"/>
      <c r="E60" s="47"/>
      <c r="F60" s="81"/>
      <c r="G60" s="56"/>
    </row>
    <row r="61" spans="1:8" ht="15" x14ac:dyDescent="0.3">
      <c r="A61" s="1"/>
      <c r="B61" s="37"/>
      <c r="C61" s="37"/>
      <c r="D61" s="37"/>
      <c r="E61" s="47"/>
      <c r="F61" s="81"/>
      <c r="G61" s="56"/>
    </row>
    <row r="63" spans="1:8" ht="15" x14ac:dyDescent="0.3">
      <c r="A63" s="29"/>
      <c r="B63" s="30"/>
      <c r="C63" s="37"/>
      <c r="D63" s="30"/>
      <c r="E63" s="5"/>
      <c r="F63" s="55"/>
      <c r="G63" s="56"/>
    </row>
    <row r="64" spans="1:8" ht="15" customHeight="1" x14ac:dyDescent="0.3">
      <c r="A64" s="29"/>
      <c r="B64" s="30"/>
      <c r="C64" s="37"/>
      <c r="D64" s="30"/>
      <c r="E64" s="5"/>
      <c r="F64" s="207" t="s">
        <v>0</v>
      </c>
      <c r="G64" s="207"/>
    </row>
    <row r="65" spans="1:9" ht="18.75" x14ac:dyDescent="0.3">
      <c r="A65" s="31" t="s">
        <v>1</v>
      </c>
      <c r="B65" s="29"/>
      <c r="C65" s="37"/>
      <c r="D65" s="30"/>
      <c r="E65" s="5"/>
      <c r="F65" s="29"/>
      <c r="G65" s="29"/>
    </row>
    <row r="66" spans="1:9" ht="15" x14ac:dyDescent="0.3">
      <c r="A66" s="29"/>
      <c r="B66" s="30"/>
      <c r="C66" s="37"/>
      <c r="D66" s="30"/>
      <c r="E66" s="5"/>
      <c r="F66" s="5"/>
      <c r="G66" s="32"/>
    </row>
    <row r="67" spans="1:9" ht="15" x14ac:dyDescent="0.3">
      <c r="A67" s="29"/>
      <c r="B67" s="30"/>
      <c r="C67" s="37"/>
      <c r="D67" s="30"/>
      <c r="E67" s="5"/>
      <c r="F67" s="5"/>
      <c r="G67" s="32"/>
    </row>
    <row r="68" spans="1:9" ht="18" x14ac:dyDescent="0.25">
      <c r="A68" s="208" t="s">
        <v>1304</v>
      </c>
      <c r="B68" s="208"/>
      <c r="C68" s="208"/>
      <c r="D68" s="208"/>
      <c r="E68" s="208"/>
      <c r="F68" s="208"/>
      <c r="G68" s="208"/>
    </row>
    <row r="69" spans="1:9" ht="18" x14ac:dyDescent="0.25">
      <c r="A69" s="208" t="s">
        <v>157</v>
      </c>
      <c r="B69" s="208"/>
      <c r="C69" s="208"/>
      <c r="D69" s="208"/>
      <c r="E69" s="208"/>
      <c r="F69" s="208"/>
      <c r="G69" s="208"/>
    </row>
    <row r="70" spans="1:9" ht="15" x14ac:dyDescent="0.3">
      <c r="A70" s="29"/>
      <c r="B70" s="9"/>
      <c r="C70" s="9"/>
      <c r="D70" s="9"/>
      <c r="E70" s="9"/>
      <c r="F70" s="10"/>
      <c r="G70" s="11"/>
    </row>
    <row r="71" spans="1:9" x14ac:dyDescent="0.2">
      <c r="A71" s="12" t="s">
        <v>2</v>
      </c>
      <c r="B71" s="12" t="s">
        <v>3</v>
      </c>
      <c r="C71" s="13" t="s">
        <v>4</v>
      </c>
      <c r="D71" s="14" t="s">
        <v>25</v>
      </c>
      <c r="E71" s="13" t="s">
        <v>6</v>
      </c>
      <c r="F71" s="13" t="s">
        <v>7</v>
      </c>
      <c r="G71" s="13" t="s">
        <v>32</v>
      </c>
      <c r="H71" s="13" t="s">
        <v>8</v>
      </c>
    </row>
    <row r="72" spans="1:9" ht="15" x14ac:dyDescent="0.3">
      <c r="A72" s="15">
        <v>1</v>
      </c>
      <c r="B72" s="16">
        <v>40658</v>
      </c>
      <c r="C72" s="17" t="s">
        <v>1066</v>
      </c>
      <c r="D72" s="18" t="s">
        <v>1305</v>
      </c>
      <c r="E72" s="19" t="s">
        <v>1306</v>
      </c>
      <c r="F72" s="20" t="s">
        <v>1307</v>
      </c>
      <c r="G72" s="21">
        <v>58820</v>
      </c>
      <c r="H72" s="21"/>
    </row>
    <row r="73" spans="1:9" ht="15" x14ac:dyDescent="0.3">
      <c r="A73" s="15">
        <v>2</v>
      </c>
      <c r="B73" s="16">
        <v>40658</v>
      </c>
      <c r="C73" s="17" t="s">
        <v>1066</v>
      </c>
      <c r="D73" s="18" t="s">
        <v>1308</v>
      </c>
      <c r="E73" s="19" t="s">
        <v>1306</v>
      </c>
      <c r="F73" s="20" t="s">
        <v>1309</v>
      </c>
      <c r="G73" s="21">
        <v>13500</v>
      </c>
      <c r="H73" s="21"/>
    </row>
    <row r="74" spans="1:9" ht="15" x14ac:dyDescent="0.3">
      <c r="A74" s="15">
        <v>3</v>
      </c>
      <c r="B74" s="16"/>
      <c r="C74" s="17"/>
      <c r="D74" s="18"/>
      <c r="E74" s="19"/>
      <c r="F74" s="20"/>
      <c r="G74" s="21"/>
      <c r="H74" s="21"/>
    </row>
    <row r="75" spans="1:9" ht="15" x14ac:dyDescent="0.3">
      <c r="A75" s="15">
        <v>4</v>
      </c>
      <c r="B75" s="16"/>
      <c r="C75" s="17"/>
      <c r="D75" s="18"/>
      <c r="E75" s="19"/>
      <c r="F75" s="20"/>
      <c r="G75" s="21"/>
      <c r="H75" s="21"/>
    </row>
    <row r="76" spans="1:9" ht="15" x14ac:dyDescent="0.3">
      <c r="A76" s="15">
        <v>5</v>
      </c>
      <c r="B76" s="16"/>
      <c r="C76" s="17"/>
      <c r="D76" s="18"/>
      <c r="E76" s="19"/>
      <c r="F76" s="20"/>
      <c r="G76" s="21"/>
      <c r="H76" s="21"/>
      <c r="I76" s="45"/>
    </row>
    <row r="77" spans="1:9" ht="15" x14ac:dyDescent="0.3">
      <c r="A77" s="15">
        <v>6</v>
      </c>
      <c r="B77" s="16"/>
      <c r="C77" s="17"/>
      <c r="D77" s="18"/>
      <c r="E77" s="19"/>
      <c r="F77" s="20"/>
      <c r="G77" s="21"/>
      <c r="H77" s="21"/>
    </row>
    <row r="78" spans="1:9" ht="15" x14ac:dyDescent="0.3">
      <c r="A78" s="29"/>
      <c r="B78" s="30"/>
      <c r="C78" s="37"/>
      <c r="D78" s="30"/>
      <c r="E78" s="5"/>
      <c r="F78" s="46" t="s">
        <v>24</v>
      </c>
      <c r="G78" s="36">
        <f>SUM(G72:G77)</f>
        <v>72320</v>
      </c>
      <c r="H78" s="27">
        <f>SUM(H72:H77)</f>
        <v>0</v>
      </c>
    </row>
    <row r="86" spans="1:7" x14ac:dyDescent="0.2">
      <c r="A86" s="211" t="s">
        <v>609</v>
      </c>
      <c r="B86" s="211"/>
      <c r="C86" s="211"/>
      <c r="D86" s="211"/>
      <c r="E86" s="211"/>
      <c r="F86" s="211"/>
      <c r="G86" s="211"/>
    </row>
    <row r="87" spans="1:7" x14ac:dyDescent="0.2">
      <c r="A87" s="211"/>
      <c r="B87" s="211"/>
      <c r="C87" s="211"/>
      <c r="D87" s="211"/>
      <c r="E87" s="211"/>
      <c r="F87" s="211"/>
      <c r="G87" s="211"/>
    </row>
    <row r="88" spans="1:7" x14ac:dyDescent="0.2">
      <c r="A88" s="211"/>
      <c r="B88" s="211"/>
      <c r="C88" s="211"/>
      <c r="D88" s="211"/>
      <c r="E88" s="211"/>
      <c r="F88" s="211"/>
      <c r="G88" s="211"/>
    </row>
    <row r="89" spans="1:7" x14ac:dyDescent="0.2">
      <c r="B89" s="35"/>
    </row>
    <row r="90" spans="1:7" ht="15" customHeight="1" x14ac:dyDescent="0.3">
      <c r="A90" s="1"/>
      <c r="B90" s="2"/>
      <c r="C90" s="3"/>
      <c r="D90" s="4"/>
      <c r="E90" s="5"/>
      <c r="F90" s="207" t="s">
        <v>0</v>
      </c>
      <c r="G90" s="207"/>
    </row>
    <row r="91" spans="1:7" ht="18.75" x14ac:dyDescent="0.3">
      <c r="A91" s="7" t="s">
        <v>1</v>
      </c>
      <c r="B91" s="7"/>
      <c r="C91" s="3"/>
      <c r="D91" s="4"/>
      <c r="E91" s="5"/>
      <c r="F91" s="5"/>
      <c r="G91" s="8"/>
    </row>
    <row r="92" spans="1:7" ht="15" x14ac:dyDescent="0.3">
      <c r="A92" s="1"/>
      <c r="B92" s="2"/>
      <c r="C92" s="3"/>
      <c r="D92" s="4"/>
      <c r="E92" s="5"/>
      <c r="F92" s="5"/>
      <c r="G92" s="8"/>
    </row>
    <row r="93" spans="1:7" ht="15" x14ac:dyDescent="0.3">
      <c r="A93" s="1"/>
      <c r="B93" s="2"/>
      <c r="C93" s="3"/>
      <c r="D93" s="4"/>
      <c r="E93" s="5"/>
      <c r="F93" s="5"/>
      <c r="G93" s="8"/>
    </row>
    <row r="94" spans="1:7" ht="18" x14ac:dyDescent="0.25">
      <c r="A94" s="208" t="s">
        <v>1310</v>
      </c>
      <c r="B94" s="208"/>
      <c r="C94" s="208"/>
      <c r="D94" s="208"/>
      <c r="E94" s="208"/>
      <c r="F94" s="208"/>
      <c r="G94" s="208"/>
    </row>
    <row r="95" spans="1:7" ht="15" x14ac:dyDescent="0.3">
      <c r="A95" s="1"/>
      <c r="B95" s="9"/>
      <c r="C95" s="9"/>
      <c r="D95" s="9"/>
      <c r="E95" s="9"/>
      <c r="F95" s="10"/>
      <c r="G95" s="11"/>
    </row>
    <row r="96" spans="1:7" x14ac:dyDescent="0.2">
      <c r="A96" s="12" t="s">
        <v>2</v>
      </c>
      <c r="B96" s="12" t="s">
        <v>3</v>
      </c>
      <c r="C96" s="13" t="s">
        <v>4</v>
      </c>
      <c r="D96" s="14" t="s">
        <v>5</v>
      </c>
      <c r="E96" s="13" t="s">
        <v>6</v>
      </c>
      <c r="F96" s="13" t="s">
        <v>7</v>
      </c>
      <c r="G96" s="13" t="s">
        <v>32</v>
      </c>
    </row>
    <row r="97" spans="1:9" ht="15" x14ac:dyDescent="0.3">
      <c r="A97" s="15">
        <v>1</v>
      </c>
      <c r="B97" s="16">
        <v>40625</v>
      </c>
      <c r="C97" s="17" t="s">
        <v>1311</v>
      </c>
      <c r="D97" s="18">
        <f>+B97+15</f>
        <v>40640</v>
      </c>
      <c r="E97" s="19" t="s">
        <v>787</v>
      </c>
      <c r="F97" s="19" t="s">
        <v>1312</v>
      </c>
      <c r="G97" s="21">
        <v>85</v>
      </c>
      <c r="I97" s="35"/>
    </row>
    <row r="98" spans="1:9" ht="15" x14ac:dyDescent="0.3">
      <c r="A98" s="15">
        <v>2</v>
      </c>
      <c r="B98" s="16">
        <v>40640</v>
      </c>
      <c r="C98" s="17" t="s">
        <v>1313</v>
      </c>
      <c r="D98" s="18">
        <f>+B98+15</f>
        <v>40655</v>
      </c>
      <c r="E98" s="19" t="s">
        <v>787</v>
      </c>
      <c r="F98" s="19" t="s">
        <v>1314</v>
      </c>
      <c r="G98" s="21">
        <v>85</v>
      </c>
      <c r="I98" s="35"/>
    </row>
    <row r="99" spans="1:9" ht="15" x14ac:dyDescent="0.2">
      <c r="A99" s="22"/>
      <c r="B99" s="22"/>
      <c r="C99" s="23"/>
      <c r="D99" s="24"/>
      <c r="E99" s="25"/>
      <c r="F99" s="26" t="s">
        <v>24</v>
      </c>
      <c r="G99" s="36">
        <f>SUM(G97:G98)</f>
        <v>170</v>
      </c>
    </row>
    <row r="100" spans="1:9" x14ac:dyDescent="0.2">
      <c r="B100" s="35"/>
    </row>
    <row r="101" spans="1:9" x14ac:dyDescent="0.2">
      <c r="B101" s="35"/>
    </row>
    <row r="102" spans="1:9" x14ac:dyDescent="0.2">
      <c r="B102" s="35"/>
    </row>
    <row r="105" spans="1:9" ht="15" customHeight="1" x14ac:dyDescent="0.3">
      <c r="A105" s="29"/>
      <c r="B105" s="30"/>
      <c r="C105" s="37"/>
      <c r="D105" s="30"/>
      <c r="E105" s="5"/>
      <c r="F105" s="207" t="s">
        <v>0</v>
      </c>
      <c r="G105" s="207"/>
    </row>
    <row r="106" spans="1:9" ht="18.75" x14ac:dyDescent="0.3">
      <c r="A106" s="31" t="s">
        <v>1</v>
      </c>
      <c r="B106" s="29"/>
      <c r="C106" s="37"/>
      <c r="D106" s="30"/>
      <c r="E106" s="5"/>
      <c r="F106" s="29"/>
      <c r="G106" s="29"/>
    </row>
    <row r="107" spans="1:9" ht="15" x14ac:dyDescent="0.3">
      <c r="A107" s="29"/>
      <c r="B107" s="30"/>
      <c r="C107" s="37"/>
      <c r="D107" s="30"/>
      <c r="E107" s="5"/>
      <c r="F107" s="5"/>
      <c r="G107" s="32"/>
    </row>
    <row r="108" spans="1:9" ht="15" x14ac:dyDescent="0.3">
      <c r="A108" s="29"/>
      <c r="B108" s="30"/>
      <c r="C108" s="37"/>
      <c r="D108" s="30"/>
      <c r="E108" s="5"/>
      <c r="F108" s="5"/>
      <c r="G108" s="32"/>
    </row>
    <row r="109" spans="1:9" ht="18" x14ac:dyDescent="0.25">
      <c r="A109" s="208" t="s">
        <v>1267</v>
      </c>
      <c r="B109" s="208"/>
      <c r="C109" s="208"/>
      <c r="D109" s="208"/>
      <c r="E109" s="208"/>
      <c r="F109" s="208"/>
      <c r="G109" s="208"/>
    </row>
    <row r="110" spans="1:9" ht="15" x14ac:dyDescent="0.3">
      <c r="A110" s="29"/>
      <c r="B110" s="9"/>
      <c r="C110" s="9"/>
      <c r="D110" s="9"/>
      <c r="E110" s="9"/>
      <c r="F110" s="10"/>
      <c r="G110" s="11"/>
    </row>
    <row r="111" spans="1:9" x14ac:dyDescent="0.2">
      <c r="A111" s="12" t="s">
        <v>2</v>
      </c>
      <c r="B111" s="12" t="s">
        <v>3</v>
      </c>
      <c r="C111" s="13" t="s">
        <v>4</v>
      </c>
      <c r="D111" s="14" t="s">
        <v>25</v>
      </c>
      <c r="E111" s="13" t="s">
        <v>6</v>
      </c>
      <c r="F111" s="13" t="s">
        <v>7</v>
      </c>
      <c r="G111" s="13" t="s">
        <v>32</v>
      </c>
    </row>
    <row r="112" spans="1:9" ht="30" x14ac:dyDescent="0.3">
      <c r="A112" s="15">
        <v>1</v>
      </c>
      <c r="B112" s="16">
        <v>40634</v>
      </c>
      <c r="C112" s="17" t="s">
        <v>1315</v>
      </c>
      <c r="D112" s="18" t="s">
        <v>1316</v>
      </c>
      <c r="E112" s="19" t="s">
        <v>426</v>
      </c>
      <c r="F112" s="19" t="s">
        <v>303</v>
      </c>
      <c r="G112" s="21">
        <f>702.1+247.8+330.4+454.3</f>
        <v>1734.6000000000001</v>
      </c>
      <c r="H112" s="45" t="s">
        <v>1270</v>
      </c>
    </row>
    <row r="113" spans="1:8" ht="30" x14ac:dyDescent="0.3">
      <c r="A113" s="15">
        <v>2</v>
      </c>
      <c r="B113" s="16">
        <v>40634</v>
      </c>
      <c r="C113" s="17" t="s">
        <v>1317</v>
      </c>
      <c r="D113" s="18" t="s">
        <v>1318</v>
      </c>
      <c r="E113" s="19" t="s">
        <v>1275</v>
      </c>
      <c r="F113" s="19" t="s">
        <v>1319</v>
      </c>
      <c r="G113" s="21">
        <f>357+354</f>
        <v>711</v>
      </c>
      <c r="H113" s="45" t="s">
        <v>1270</v>
      </c>
    </row>
    <row r="114" spans="1:8" ht="15" x14ac:dyDescent="0.3">
      <c r="A114" s="15">
        <v>3</v>
      </c>
      <c r="B114" s="16"/>
      <c r="C114" s="17"/>
      <c r="D114" s="18"/>
      <c r="E114" s="19"/>
      <c r="F114" s="19"/>
      <c r="G114" s="21"/>
    </row>
    <row r="115" spans="1:8" ht="15" x14ac:dyDescent="0.3">
      <c r="A115" s="15"/>
      <c r="B115" s="16"/>
      <c r="C115" s="17"/>
      <c r="D115" s="18"/>
      <c r="E115" s="19"/>
      <c r="F115" s="19"/>
      <c r="G115" s="86"/>
    </row>
    <row r="116" spans="1:8" ht="15" x14ac:dyDescent="0.3">
      <c r="A116" s="29"/>
      <c r="B116" s="30"/>
      <c r="C116" s="37"/>
      <c r="D116" s="30"/>
      <c r="E116" s="5"/>
      <c r="F116" s="46" t="s">
        <v>24</v>
      </c>
      <c r="G116" s="36">
        <f>SUM(G112:G113)</f>
        <v>2445.6000000000004</v>
      </c>
    </row>
    <row r="117" spans="1:8" x14ac:dyDescent="0.2">
      <c r="B117" s="35"/>
    </row>
  </sheetData>
  <sheetProtection selectLockedCells="1" selectUnlockedCells="1"/>
  <mergeCells count="14">
    <mergeCell ref="A55:G55"/>
    <mergeCell ref="F105:G105"/>
    <mergeCell ref="A109:G109"/>
    <mergeCell ref="F64:G64"/>
    <mergeCell ref="A68:G68"/>
    <mergeCell ref="A69:G69"/>
    <mergeCell ref="A86:G88"/>
    <mergeCell ref="F90:G90"/>
    <mergeCell ref="A94:G94"/>
    <mergeCell ref="F1:G1"/>
    <mergeCell ref="A5:G5"/>
    <mergeCell ref="F30:G30"/>
    <mergeCell ref="A34:G34"/>
    <mergeCell ref="A52:E52"/>
  </mergeCells>
  <pageMargins left="0.70833333333333337" right="0.70833333333333337" top="0.74791666666666667" bottom="0.74791666666666667" header="0.51180555555555551" footer="0.51180555555555551"/>
  <pageSetup scale="60" firstPageNumber="0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pageSetUpPr fitToPage="1"/>
  </sheetPr>
  <dimension ref="A1:I50"/>
  <sheetViews>
    <sheetView topLeftCell="A4" workbookViewId="0">
      <selection activeCell="A86" sqref="A86"/>
    </sheetView>
  </sheetViews>
  <sheetFormatPr baseColWidth="10" defaultColWidth="10.7109375" defaultRowHeight="12.75" x14ac:dyDescent="0.2"/>
  <cols>
    <col min="1" max="1" width="3.5703125" customWidth="1"/>
    <col min="2" max="2" width="13.28515625" customWidth="1"/>
    <col min="3" max="3" width="20.7109375" customWidth="1"/>
    <col min="4" max="4" width="13.140625" customWidth="1"/>
    <col min="5" max="5" width="45" customWidth="1"/>
    <col min="6" max="6" width="42" customWidth="1"/>
    <col min="7" max="7" width="15.42578125" customWidth="1"/>
  </cols>
  <sheetData>
    <row r="1" spans="1:9" ht="15" customHeight="1" x14ac:dyDescent="0.3">
      <c r="A1" s="1"/>
      <c r="B1" s="2"/>
      <c r="C1" s="3"/>
      <c r="D1" s="4"/>
      <c r="E1" s="5"/>
      <c r="F1" s="207" t="s">
        <v>0</v>
      </c>
      <c r="G1" s="207"/>
    </row>
    <row r="2" spans="1:9" ht="18.75" x14ac:dyDescent="0.3">
      <c r="A2" s="7" t="s">
        <v>1</v>
      </c>
      <c r="B2" s="7"/>
      <c r="C2" s="3"/>
      <c r="D2" s="4"/>
      <c r="E2" s="5"/>
      <c r="F2" s="5"/>
      <c r="G2" s="8"/>
    </row>
    <row r="3" spans="1:9" ht="15" x14ac:dyDescent="0.3">
      <c r="A3" s="1"/>
      <c r="B3" s="2"/>
      <c r="C3" s="3"/>
      <c r="D3" s="4"/>
      <c r="E3" s="5"/>
      <c r="F3" s="5"/>
      <c r="G3" s="8"/>
    </row>
    <row r="4" spans="1:9" ht="15" x14ac:dyDescent="0.3">
      <c r="A4" s="1"/>
      <c r="B4" s="2"/>
      <c r="C4" s="3"/>
      <c r="D4" s="4"/>
      <c r="E4" s="5"/>
      <c r="F4" s="5"/>
      <c r="G4" s="8"/>
    </row>
    <row r="5" spans="1:9" ht="18" x14ac:dyDescent="0.25">
      <c r="A5" s="208" t="s">
        <v>1320</v>
      </c>
      <c r="B5" s="208"/>
      <c r="C5" s="208"/>
      <c r="D5" s="208"/>
      <c r="E5" s="208"/>
      <c r="F5" s="208"/>
      <c r="G5" s="208"/>
    </row>
    <row r="6" spans="1:9" ht="15" x14ac:dyDescent="0.3">
      <c r="A6" s="1"/>
      <c r="B6" s="9"/>
      <c r="C6" s="9"/>
      <c r="D6" s="9"/>
      <c r="E6" s="9"/>
      <c r="F6" s="10"/>
      <c r="G6" s="11"/>
    </row>
    <row r="7" spans="1:9" x14ac:dyDescent="0.2">
      <c r="A7" s="12" t="s">
        <v>2</v>
      </c>
      <c r="B7" s="12" t="s">
        <v>3</v>
      </c>
      <c r="C7" s="13" t="s">
        <v>4</v>
      </c>
      <c r="D7" s="14" t="s">
        <v>5</v>
      </c>
      <c r="E7" s="13" t="s">
        <v>6</v>
      </c>
      <c r="F7" s="13" t="s">
        <v>7</v>
      </c>
      <c r="G7" s="13" t="s">
        <v>8</v>
      </c>
    </row>
    <row r="8" spans="1:9" ht="15" x14ac:dyDescent="0.3">
      <c r="A8" s="15">
        <v>1</v>
      </c>
      <c r="B8" s="16">
        <v>40596</v>
      </c>
      <c r="C8" s="33" t="s">
        <v>1321</v>
      </c>
      <c r="D8" s="18">
        <f>+B8+15</f>
        <v>40611</v>
      </c>
      <c r="E8" s="19" t="s">
        <v>1220</v>
      </c>
      <c r="F8" s="19" t="s">
        <v>1322</v>
      </c>
      <c r="G8" s="21">
        <v>35.700000000000003</v>
      </c>
      <c r="I8" s="35"/>
    </row>
    <row r="9" spans="1:9" ht="15" x14ac:dyDescent="0.3">
      <c r="A9" s="15">
        <v>2</v>
      </c>
      <c r="B9" s="16">
        <v>40623</v>
      </c>
      <c r="C9" s="17" t="s">
        <v>1323</v>
      </c>
      <c r="D9" s="18">
        <f>+B9+15</f>
        <v>40638</v>
      </c>
      <c r="E9" s="19" t="s">
        <v>675</v>
      </c>
      <c r="F9" s="19" t="s">
        <v>1324</v>
      </c>
      <c r="G9" s="21">
        <v>3079.8</v>
      </c>
      <c r="I9" s="35"/>
    </row>
    <row r="10" spans="1:9" ht="15" x14ac:dyDescent="0.3">
      <c r="A10" s="15">
        <v>3</v>
      </c>
      <c r="B10" s="16">
        <v>40623</v>
      </c>
      <c r="C10" s="17" t="s">
        <v>1325</v>
      </c>
      <c r="D10" s="18">
        <f>+B10+30</f>
        <v>40653</v>
      </c>
      <c r="E10" s="19" t="s">
        <v>11</v>
      </c>
      <c r="F10" s="19" t="s">
        <v>187</v>
      </c>
      <c r="G10" s="21">
        <v>10.48</v>
      </c>
      <c r="I10" s="35"/>
    </row>
    <row r="11" spans="1:9" ht="15" x14ac:dyDescent="0.3">
      <c r="A11" s="15">
        <v>14</v>
      </c>
      <c r="B11" s="16">
        <v>40637</v>
      </c>
      <c r="C11" s="17" t="s">
        <v>1326</v>
      </c>
      <c r="D11" s="18">
        <f>+B11+15</f>
        <v>40652</v>
      </c>
      <c r="E11" s="19" t="s">
        <v>309</v>
      </c>
      <c r="F11" s="19" t="s">
        <v>1327</v>
      </c>
      <c r="G11" s="21">
        <v>177</v>
      </c>
      <c r="I11" s="35"/>
    </row>
    <row r="12" spans="1:9" ht="15" x14ac:dyDescent="0.3">
      <c r="A12" s="15">
        <v>4</v>
      </c>
      <c r="B12" s="16">
        <v>40634</v>
      </c>
      <c r="C12" s="17" t="s">
        <v>1328</v>
      </c>
      <c r="D12" s="18">
        <f>+B12+15</f>
        <v>40649</v>
      </c>
      <c r="E12" s="19" t="s">
        <v>499</v>
      </c>
      <c r="F12" s="19" t="s">
        <v>1329</v>
      </c>
      <c r="G12" s="21">
        <v>199.46</v>
      </c>
      <c r="I12" s="35"/>
    </row>
    <row r="13" spans="1:9" ht="15" x14ac:dyDescent="0.3">
      <c r="A13" s="15">
        <v>5</v>
      </c>
      <c r="B13" s="16"/>
      <c r="C13" s="17"/>
      <c r="D13" s="18"/>
      <c r="E13" s="19"/>
      <c r="F13" s="19"/>
      <c r="G13" s="21"/>
      <c r="I13" s="35"/>
    </row>
    <row r="14" spans="1:9" ht="15" x14ac:dyDescent="0.2">
      <c r="A14" s="22"/>
      <c r="B14" s="22"/>
      <c r="C14" s="23"/>
      <c r="D14" s="24"/>
      <c r="E14" s="25"/>
      <c r="F14" s="26" t="s">
        <v>24</v>
      </c>
      <c r="G14" s="27">
        <f>SUM(G8:G13)</f>
        <v>3502.44</v>
      </c>
    </row>
    <row r="15" spans="1:9" ht="15" x14ac:dyDescent="0.3">
      <c r="A15" s="1"/>
      <c r="B15" s="28"/>
      <c r="C15" s="1"/>
      <c r="D15" s="1"/>
      <c r="E15" s="1"/>
      <c r="F15" s="5"/>
      <c r="G15" s="11"/>
    </row>
    <row r="16" spans="1:9" x14ac:dyDescent="0.2">
      <c r="B16" s="35"/>
    </row>
    <row r="17" spans="1:9" x14ac:dyDescent="0.2">
      <c r="B17" s="35"/>
    </row>
    <row r="19" spans="1:9" ht="15" customHeight="1" x14ac:dyDescent="0.3">
      <c r="A19" s="29"/>
      <c r="B19" s="30"/>
      <c r="C19" s="37"/>
      <c r="D19" s="30"/>
      <c r="E19" s="5"/>
      <c r="F19" s="207" t="s">
        <v>0</v>
      </c>
      <c r="G19" s="207"/>
    </row>
    <row r="20" spans="1:9" ht="18.75" x14ac:dyDescent="0.3">
      <c r="A20" s="31" t="s">
        <v>1</v>
      </c>
      <c r="B20" s="29"/>
      <c r="C20" s="37"/>
      <c r="D20" s="30"/>
      <c r="E20" s="5"/>
      <c r="F20" s="29"/>
      <c r="G20" s="29"/>
    </row>
    <row r="21" spans="1:9" ht="15" x14ac:dyDescent="0.3">
      <c r="A21" s="29"/>
      <c r="B21" s="30"/>
      <c r="C21" s="37"/>
      <c r="D21" s="30"/>
      <c r="E21" s="5"/>
      <c r="F21" s="5"/>
      <c r="G21" s="32"/>
    </row>
    <row r="22" spans="1:9" ht="15" x14ac:dyDescent="0.3">
      <c r="A22" s="29"/>
      <c r="B22" s="30"/>
      <c r="C22" s="37"/>
      <c r="D22" s="30"/>
      <c r="E22" s="5"/>
      <c r="F22" s="5"/>
      <c r="G22" s="32"/>
    </row>
    <row r="23" spans="1:9" ht="18" x14ac:dyDescent="0.25">
      <c r="A23" s="208" t="s">
        <v>1330</v>
      </c>
      <c r="B23" s="208"/>
      <c r="C23" s="208"/>
      <c r="D23" s="208"/>
      <c r="E23" s="208"/>
      <c r="F23" s="208"/>
      <c r="G23" s="208"/>
    </row>
    <row r="24" spans="1:9" ht="15" x14ac:dyDescent="0.3">
      <c r="A24" s="29"/>
      <c r="B24" s="9"/>
      <c r="C24" s="9"/>
      <c r="D24" s="9"/>
      <c r="E24" s="9"/>
      <c r="F24" s="10"/>
      <c r="G24" s="11"/>
    </row>
    <row r="25" spans="1:9" x14ac:dyDescent="0.2">
      <c r="A25" s="12" t="s">
        <v>2</v>
      </c>
      <c r="B25" s="12" t="s">
        <v>3</v>
      </c>
      <c r="C25" s="13" t="s">
        <v>4</v>
      </c>
      <c r="D25" s="14" t="s">
        <v>25</v>
      </c>
      <c r="E25" s="13" t="s">
        <v>6</v>
      </c>
      <c r="F25" s="13" t="s">
        <v>7</v>
      </c>
      <c r="G25" s="13" t="s">
        <v>8</v>
      </c>
    </row>
    <row r="26" spans="1:9" ht="26.25" x14ac:dyDescent="0.3">
      <c r="A26" s="61">
        <v>1</v>
      </c>
      <c r="B26" s="62">
        <v>40598</v>
      </c>
      <c r="C26" s="88" t="s">
        <v>1331</v>
      </c>
      <c r="D26" s="64"/>
      <c r="E26" s="65" t="s">
        <v>515</v>
      </c>
      <c r="F26" s="66" t="s">
        <v>1332</v>
      </c>
      <c r="G26" s="67">
        <f>26.78+17.7+8.93</f>
        <v>53.410000000000004</v>
      </c>
      <c r="H26" s="87" t="s">
        <v>1270</v>
      </c>
      <c r="I26" s="45"/>
    </row>
    <row r="27" spans="1:9" ht="26.25" x14ac:dyDescent="0.3">
      <c r="A27" s="61">
        <v>2</v>
      </c>
      <c r="B27" s="62">
        <v>40619</v>
      </c>
      <c r="C27" s="88" t="s">
        <v>1333</v>
      </c>
      <c r="D27" s="64"/>
      <c r="E27" s="65" t="s">
        <v>1334</v>
      </c>
      <c r="F27" s="66" t="s">
        <v>1335</v>
      </c>
      <c r="G27" s="67">
        <f>47.2+357</f>
        <v>404.2</v>
      </c>
      <c r="H27" s="87" t="s">
        <v>1270</v>
      </c>
      <c r="I27" s="45"/>
    </row>
    <row r="28" spans="1:9" ht="15" x14ac:dyDescent="0.3">
      <c r="A28" s="15"/>
      <c r="B28" s="16"/>
      <c r="C28" s="33"/>
      <c r="D28" s="18"/>
      <c r="E28" s="19"/>
      <c r="F28" s="20"/>
      <c r="G28" s="21"/>
    </row>
    <row r="29" spans="1:9" ht="15" x14ac:dyDescent="0.3">
      <c r="A29" s="29"/>
      <c r="B29" s="30"/>
      <c r="C29" s="37"/>
      <c r="D29" s="30"/>
      <c r="E29" s="5"/>
      <c r="F29" s="26" t="s">
        <v>24</v>
      </c>
      <c r="G29" s="27">
        <f>SUM(G26:G28)</f>
        <v>457.61</v>
      </c>
    </row>
    <row r="36" spans="1:7" ht="15" customHeight="1" x14ac:dyDescent="0.3">
      <c r="A36" s="1"/>
      <c r="B36" s="37"/>
      <c r="C36" s="37"/>
      <c r="D36" s="37"/>
      <c r="E36" s="47"/>
      <c r="F36" s="212" t="s">
        <v>0</v>
      </c>
      <c r="G36" s="212"/>
    </row>
    <row r="37" spans="1:7" ht="18.75" x14ac:dyDescent="0.3">
      <c r="A37" s="209" t="s">
        <v>1</v>
      </c>
      <c r="B37" s="209"/>
      <c r="C37" s="209"/>
      <c r="D37" s="209"/>
      <c r="E37" s="209"/>
      <c r="F37" s="47"/>
      <c r="G37" s="47"/>
    </row>
    <row r="38" spans="1:7" ht="15" x14ac:dyDescent="0.3">
      <c r="A38" s="1"/>
      <c r="B38" s="37"/>
      <c r="C38" s="37"/>
      <c r="D38" s="37"/>
      <c r="E38" s="47"/>
      <c r="F38" s="47"/>
      <c r="G38" s="48"/>
    </row>
    <row r="39" spans="1:7" ht="15" x14ac:dyDescent="0.3">
      <c r="A39" s="1"/>
      <c r="B39" s="37"/>
      <c r="C39" s="37"/>
      <c r="D39" s="37"/>
      <c r="E39" s="47"/>
      <c r="F39" s="47"/>
      <c r="G39" s="48"/>
    </row>
    <row r="40" spans="1:7" ht="18" x14ac:dyDescent="0.25">
      <c r="A40" s="210" t="s">
        <v>1336</v>
      </c>
      <c r="B40" s="210"/>
      <c r="C40" s="210"/>
      <c r="D40" s="210"/>
      <c r="E40" s="210"/>
      <c r="F40" s="210"/>
      <c r="G40" s="210"/>
    </row>
    <row r="41" spans="1:7" ht="15" x14ac:dyDescent="0.3">
      <c r="A41" s="1"/>
      <c r="B41" s="49"/>
      <c r="C41" s="49"/>
      <c r="D41" s="49"/>
      <c r="E41" s="49"/>
      <c r="F41" s="50"/>
      <c r="G41" s="47"/>
    </row>
    <row r="42" spans="1:7" x14ac:dyDescent="0.2">
      <c r="A42" s="51" t="s">
        <v>2</v>
      </c>
      <c r="B42" s="51" t="s">
        <v>3</v>
      </c>
      <c r="C42" s="51" t="s">
        <v>4</v>
      </c>
      <c r="D42" s="51" t="s">
        <v>5</v>
      </c>
      <c r="E42" s="51" t="s">
        <v>6</v>
      </c>
      <c r="F42" s="51" t="s">
        <v>146</v>
      </c>
      <c r="G42" s="13" t="s">
        <v>8</v>
      </c>
    </row>
    <row r="43" spans="1:7" ht="15" x14ac:dyDescent="0.3">
      <c r="A43" s="52">
        <v>1</v>
      </c>
      <c r="B43" s="89">
        <v>40651</v>
      </c>
      <c r="C43" s="90" t="s">
        <v>1337</v>
      </c>
      <c r="D43" s="89">
        <v>40651</v>
      </c>
      <c r="E43" s="91" t="s">
        <v>523</v>
      </c>
      <c r="F43" s="92" t="s">
        <v>149</v>
      </c>
      <c r="G43" s="93">
        <v>5804.39</v>
      </c>
    </row>
    <row r="44" spans="1:7" ht="15" x14ac:dyDescent="0.3">
      <c r="A44" s="52">
        <v>2</v>
      </c>
      <c r="B44" s="89">
        <v>40651</v>
      </c>
      <c r="C44" s="90" t="s">
        <v>1338</v>
      </c>
      <c r="D44" s="89">
        <v>40651</v>
      </c>
      <c r="E44" s="91" t="s">
        <v>523</v>
      </c>
      <c r="F44" s="92" t="s">
        <v>149</v>
      </c>
      <c r="G44" s="93">
        <v>6521.75</v>
      </c>
    </row>
    <row r="45" spans="1:7" ht="15" x14ac:dyDescent="0.3">
      <c r="A45" s="52">
        <v>3</v>
      </c>
      <c r="B45" s="89">
        <v>40651</v>
      </c>
      <c r="C45" s="90" t="s">
        <v>1339</v>
      </c>
      <c r="D45" s="89">
        <v>40651</v>
      </c>
      <c r="E45" s="91" t="s">
        <v>1340</v>
      </c>
      <c r="F45" s="92" t="s">
        <v>306</v>
      </c>
      <c r="G45" s="93">
        <v>4026.75</v>
      </c>
    </row>
    <row r="46" spans="1:7" ht="15" x14ac:dyDescent="0.3">
      <c r="A46" s="52">
        <v>4</v>
      </c>
      <c r="B46" s="89">
        <v>40658</v>
      </c>
      <c r="C46" s="90" t="s">
        <v>1341</v>
      </c>
      <c r="D46" s="89">
        <v>40658</v>
      </c>
      <c r="E46" s="91" t="s">
        <v>523</v>
      </c>
      <c r="F46" s="92" t="s">
        <v>149</v>
      </c>
      <c r="G46" s="93">
        <v>8225.11</v>
      </c>
    </row>
    <row r="47" spans="1:7" ht="15" x14ac:dyDescent="0.3">
      <c r="A47" s="52">
        <v>5</v>
      </c>
      <c r="B47" s="89">
        <v>40659</v>
      </c>
      <c r="C47" s="90" t="s">
        <v>1342</v>
      </c>
      <c r="D47" s="89">
        <v>40659</v>
      </c>
      <c r="E47" s="91" t="s">
        <v>523</v>
      </c>
      <c r="F47" s="92" t="s">
        <v>149</v>
      </c>
      <c r="G47" s="93">
        <v>4897.1499999999996</v>
      </c>
    </row>
    <row r="48" spans="1:7" ht="15" x14ac:dyDescent="0.3">
      <c r="A48" s="52">
        <v>6</v>
      </c>
      <c r="B48" s="94">
        <v>40659</v>
      </c>
      <c r="C48" s="83" t="s">
        <v>1343</v>
      </c>
      <c r="D48" s="94">
        <v>40659</v>
      </c>
      <c r="E48" s="95" t="s">
        <v>523</v>
      </c>
      <c r="F48" s="92" t="s">
        <v>149</v>
      </c>
      <c r="G48" s="93">
        <v>2333.48</v>
      </c>
    </row>
    <row r="49" spans="1:7" ht="15" x14ac:dyDescent="0.3">
      <c r="A49" s="52">
        <v>7</v>
      </c>
      <c r="B49" s="94">
        <v>40638</v>
      </c>
      <c r="C49" s="83" t="s">
        <v>275</v>
      </c>
      <c r="D49" s="94">
        <f>+B49+20</f>
        <v>40658</v>
      </c>
      <c r="E49" s="95" t="s">
        <v>1344</v>
      </c>
      <c r="F49" s="92" t="s">
        <v>1345</v>
      </c>
      <c r="G49" s="93">
        <v>109.69</v>
      </c>
    </row>
    <row r="50" spans="1:7" ht="15" x14ac:dyDescent="0.3">
      <c r="A50" s="1"/>
      <c r="B50" s="37"/>
      <c r="C50" s="37"/>
      <c r="D50" s="37"/>
      <c r="E50" s="47"/>
      <c r="F50" s="51" t="s">
        <v>155</v>
      </c>
      <c r="G50" s="27">
        <f>SUM(G43:G49)</f>
        <v>31918.32</v>
      </c>
    </row>
  </sheetData>
  <sheetProtection selectLockedCells="1" selectUnlockedCells="1"/>
  <mergeCells count="7">
    <mergeCell ref="A40:G40"/>
    <mergeCell ref="F1:G1"/>
    <mergeCell ref="A5:G5"/>
    <mergeCell ref="F19:G19"/>
    <mergeCell ref="A23:G23"/>
    <mergeCell ref="F36:G36"/>
    <mergeCell ref="A37:E37"/>
  </mergeCells>
  <pageMargins left="0.70833333333333337" right="0.70833333333333337" top="0.74791666666666667" bottom="0.74791666666666667" header="0.51180555555555551" footer="0.51180555555555551"/>
  <pageSetup scale="60" firstPageNumber="0"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A1:J30"/>
  <sheetViews>
    <sheetView workbookViewId="0">
      <selection activeCell="G28" sqref="G28"/>
    </sheetView>
  </sheetViews>
  <sheetFormatPr baseColWidth="10" defaultColWidth="10.7109375" defaultRowHeight="12.75" x14ac:dyDescent="0.2"/>
  <cols>
    <col min="1" max="1" width="2.7109375" customWidth="1"/>
    <col min="2" max="2" width="13.140625" customWidth="1"/>
    <col min="4" max="4" width="12.5703125" customWidth="1"/>
    <col min="5" max="5" width="25.85546875" customWidth="1"/>
    <col min="6" max="6" width="31.7109375" customWidth="1"/>
    <col min="7" max="7" width="15.42578125" customWidth="1"/>
  </cols>
  <sheetData>
    <row r="1" spans="1:10" ht="15" customHeight="1" x14ac:dyDescent="0.3">
      <c r="A1" s="1"/>
      <c r="B1" s="2"/>
      <c r="C1" s="3"/>
      <c r="D1" s="4"/>
      <c r="E1" s="5"/>
      <c r="F1" s="207" t="s">
        <v>0</v>
      </c>
      <c r="G1" s="207"/>
    </row>
    <row r="2" spans="1:10" ht="18.75" x14ac:dyDescent="0.3">
      <c r="A2" s="7" t="s">
        <v>1</v>
      </c>
      <c r="B2" s="7"/>
      <c r="C2" s="3"/>
      <c r="D2" s="4"/>
      <c r="E2" s="5"/>
      <c r="F2" s="5"/>
      <c r="G2" s="8"/>
    </row>
    <row r="3" spans="1:10" ht="15" x14ac:dyDescent="0.3">
      <c r="A3" s="1"/>
      <c r="B3" s="2"/>
      <c r="C3" s="3"/>
      <c r="D3" s="4"/>
      <c r="E3" s="5"/>
      <c r="F3" s="5"/>
      <c r="G3" s="8"/>
    </row>
    <row r="4" spans="1:10" ht="15" x14ac:dyDescent="0.3">
      <c r="A4" s="1"/>
      <c r="B4" s="2"/>
      <c r="C4" s="3"/>
      <c r="D4" s="4"/>
      <c r="E4" s="5"/>
      <c r="F4" s="5"/>
      <c r="G4" s="8"/>
    </row>
    <row r="5" spans="1:10" ht="18" x14ac:dyDescent="0.25">
      <c r="A5" s="208" t="s">
        <v>1346</v>
      </c>
      <c r="B5" s="208"/>
      <c r="C5" s="208"/>
      <c r="D5" s="208"/>
      <c r="E5" s="208"/>
      <c r="F5" s="208"/>
      <c r="G5" s="208"/>
    </row>
    <row r="6" spans="1:10" ht="15" x14ac:dyDescent="0.3">
      <c r="A6" s="1"/>
      <c r="B6" s="9"/>
      <c r="C6" s="9"/>
      <c r="D6" s="9"/>
      <c r="E6" s="9"/>
      <c r="F6" s="10"/>
      <c r="G6" s="11"/>
    </row>
    <row r="7" spans="1:10" x14ac:dyDescent="0.2">
      <c r="A7" s="12" t="s">
        <v>2</v>
      </c>
      <c r="B7" s="12" t="s">
        <v>3</v>
      </c>
      <c r="C7" s="13" t="s">
        <v>4</v>
      </c>
      <c r="D7" s="14" t="s">
        <v>5</v>
      </c>
      <c r="E7" s="13" t="s">
        <v>6</v>
      </c>
      <c r="F7" s="13" t="s">
        <v>7</v>
      </c>
      <c r="G7" s="13" t="s">
        <v>32</v>
      </c>
    </row>
    <row r="8" spans="1:10" ht="30" x14ac:dyDescent="0.3">
      <c r="A8" s="15">
        <v>1</v>
      </c>
      <c r="B8" s="16">
        <v>40829</v>
      </c>
      <c r="C8" s="33" t="s">
        <v>1347</v>
      </c>
      <c r="D8" s="18">
        <f>+B8+15</f>
        <v>40844</v>
      </c>
      <c r="E8" s="19" t="s">
        <v>233</v>
      </c>
      <c r="F8" s="19" t="s">
        <v>1348</v>
      </c>
      <c r="G8" s="21">
        <f>230+4.6</f>
        <v>234.6</v>
      </c>
    </row>
    <row r="9" spans="1:10" ht="30" x14ac:dyDescent="0.3">
      <c r="A9" s="15">
        <v>2</v>
      </c>
      <c r="B9" s="16">
        <v>40836</v>
      </c>
      <c r="C9" s="33" t="s">
        <v>1349</v>
      </c>
      <c r="D9" s="18">
        <f>+B9+15</f>
        <v>40851</v>
      </c>
      <c r="E9" s="19" t="s">
        <v>233</v>
      </c>
      <c r="F9" s="19" t="s">
        <v>1350</v>
      </c>
      <c r="G9" s="21">
        <f>46+0.92</f>
        <v>46.92</v>
      </c>
    </row>
    <row r="10" spans="1:10" ht="30" x14ac:dyDescent="0.3">
      <c r="A10" s="15">
        <v>3</v>
      </c>
      <c r="B10" s="16">
        <v>40819</v>
      </c>
      <c r="C10" s="33" t="s">
        <v>1351</v>
      </c>
      <c r="D10" s="18">
        <f>+B10+15</f>
        <v>40834</v>
      </c>
      <c r="E10" s="19" t="s">
        <v>233</v>
      </c>
      <c r="F10" s="19" t="s">
        <v>1352</v>
      </c>
      <c r="G10" s="21">
        <f>138+2.76</f>
        <v>140.76</v>
      </c>
      <c r="J10" s="35"/>
    </row>
    <row r="11" spans="1:10" ht="26.25" x14ac:dyDescent="0.3">
      <c r="A11" s="15">
        <v>4</v>
      </c>
      <c r="B11" s="16">
        <v>40835</v>
      </c>
      <c r="C11" s="33" t="s">
        <v>1353</v>
      </c>
      <c r="D11" s="18">
        <f>+B11+15</f>
        <v>40850</v>
      </c>
      <c r="E11" s="19" t="s">
        <v>55</v>
      </c>
      <c r="F11" s="19" t="s">
        <v>1354</v>
      </c>
      <c r="G11" s="21">
        <v>1841.1</v>
      </c>
      <c r="J11" s="35"/>
    </row>
    <row r="12" spans="1:10" ht="30" x14ac:dyDescent="0.3">
      <c r="A12" s="15">
        <v>5</v>
      </c>
      <c r="B12" s="16">
        <v>40834</v>
      </c>
      <c r="C12" s="33" t="s">
        <v>1355</v>
      </c>
      <c r="D12" s="18">
        <f>+B12+15</f>
        <v>40849</v>
      </c>
      <c r="E12" s="19" t="s">
        <v>383</v>
      </c>
      <c r="F12" s="19" t="s">
        <v>1356</v>
      </c>
      <c r="G12" s="21">
        <v>1070.8499999999999</v>
      </c>
    </row>
    <row r="13" spans="1:10" ht="15" x14ac:dyDescent="0.3">
      <c r="A13" s="15">
        <v>6</v>
      </c>
      <c r="B13" s="16">
        <v>40835</v>
      </c>
      <c r="C13" s="33" t="s">
        <v>1357</v>
      </c>
      <c r="D13" s="18">
        <f>+B13+7</f>
        <v>40842</v>
      </c>
      <c r="E13" s="19" t="s">
        <v>369</v>
      </c>
      <c r="F13" s="19" t="s">
        <v>1358</v>
      </c>
      <c r="G13" s="21">
        <v>51</v>
      </c>
    </row>
    <row r="14" spans="1:10" ht="15" x14ac:dyDescent="0.3">
      <c r="A14" s="15">
        <v>7</v>
      </c>
      <c r="B14" s="16">
        <v>40835</v>
      </c>
      <c r="C14" s="33" t="s">
        <v>1359</v>
      </c>
      <c r="D14" s="18">
        <f>+B14+7</f>
        <v>40842</v>
      </c>
      <c r="E14" s="19" t="s">
        <v>369</v>
      </c>
      <c r="F14" s="19" t="s">
        <v>1360</v>
      </c>
      <c r="G14" s="21">
        <v>127.5</v>
      </c>
    </row>
    <row r="15" spans="1:10" ht="15" x14ac:dyDescent="0.2">
      <c r="A15" s="22"/>
      <c r="B15" s="22"/>
      <c r="C15" s="23"/>
      <c r="D15" s="24"/>
      <c r="E15" s="25"/>
      <c r="F15" s="26" t="s">
        <v>24</v>
      </c>
      <c r="G15" s="36">
        <f>SUM(G8:G14)</f>
        <v>3512.73</v>
      </c>
    </row>
    <row r="18" spans="1:7" x14ac:dyDescent="0.2">
      <c r="A18" s="211" t="s">
        <v>609</v>
      </c>
      <c r="B18" s="211"/>
      <c r="C18" s="211"/>
      <c r="D18" s="211"/>
      <c r="E18" s="211"/>
      <c r="F18" s="211"/>
      <c r="G18" s="211"/>
    </row>
    <row r="19" spans="1:7" ht="21" customHeight="1" x14ac:dyDescent="0.2">
      <c r="A19" s="211"/>
      <c r="B19" s="211"/>
      <c r="C19" s="211"/>
      <c r="D19" s="211"/>
      <c r="E19" s="211"/>
      <c r="F19" s="211"/>
      <c r="G19" s="211"/>
    </row>
    <row r="20" spans="1:7" x14ac:dyDescent="0.2">
      <c r="A20" s="211"/>
      <c r="B20" s="211"/>
      <c r="C20" s="211"/>
      <c r="D20" s="211"/>
      <c r="E20" s="211"/>
      <c r="F20" s="211"/>
      <c r="G20" s="211"/>
    </row>
    <row r="22" spans="1:7" ht="15" customHeight="1" x14ac:dyDescent="0.3">
      <c r="A22" s="1"/>
      <c r="B22" s="2"/>
      <c r="C22" s="3"/>
      <c r="D22" s="4"/>
      <c r="E22" s="5"/>
      <c r="F22" s="207" t="s">
        <v>0</v>
      </c>
      <c r="G22" s="207"/>
    </row>
    <row r="23" spans="1:7" ht="18.75" x14ac:dyDescent="0.3">
      <c r="A23" s="7" t="s">
        <v>1</v>
      </c>
      <c r="B23" s="7"/>
      <c r="C23" s="3"/>
      <c r="D23" s="4"/>
      <c r="E23" s="5"/>
      <c r="F23" s="5"/>
      <c r="G23" s="8"/>
    </row>
    <row r="24" spans="1:7" ht="15" x14ac:dyDescent="0.3">
      <c r="A24" s="1"/>
      <c r="B24" s="2"/>
      <c r="C24" s="3"/>
      <c r="D24" s="4"/>
      <c r="E24" s="5"/>
      <c r="F24" s="5"/>
      <c r="G24" s="8"/>
    </row>
    <row r="25" spans="1:7" ht="15" x14ac:dyDescent="0.3">
      <c r="A25" s="1"/>
      <c r="B25" s="2"/>
      <c r="C25" s="3"/>
      <c r="D25" s="4"/>
      <c r="E25" s="5"/>
      <c r="F25" s="5"/>
      <c r="G25" s="8"/>
    </row>
    <row r="26" spans="1:7" ht="18" x14ac:dyDescent="0.25">
      <c r="A26" s="208" t="s">
        <v>1346</v>
      </c>
      <c r="B26" s="208"/>
      <c r="C26" s="208"/>
      <c r="D26" s="208"/>
      <c r="E26" s="208"/>
      <c r="F26" s="208"/>
      <c r="G26" s="208"/>
    </row>
    <row r="27" spans="1:7" ht="15" x14ac:dyDescent="0.3">
      <c r="A27" s="1"/>
      <c r="B27" s="9"/>
      <c r="C27" s="9"/>
      <c r="D27" s="9"/>
      <c r="E27" s="9"/>
      <c r="F27" s="10"/>
      <c r="G27" s="11"/>
    </row>
    <row r="28" spans="1:7" x14ac:dyDescent="0.2">
      <c r="A28" s="12" t="s">
        <v>2</v>
      </c>
      <c r="B28" s="12" t="s">
        <v>3</v>
      </c>
      <c r="C28" s="13" t="s">
        <v>4</v>
      </c>
      <c r="D28" s="14" t="s">
        <v>5</v>
      </c>
      <c r="E28" s="13" t="s">
        <v>6</v>
      </c>
      <c r="F28" s="13" t="s">
        <v>7</v>
      </c>
      <c r="G28" s="13" t="s">
        <v>32</v>
      </c>
    </row>
    <row r="29" spans="1:7" ht="30" x14ac:dyDescent="0.3">
      <c r="A29" s="15">
        <v>1</v>
      </c>
      <c r="B29" s="16">
        <v>40819</v>
      </c>
      <c r="C29" s="33" t="s">
        <v>1361</v>
      </c>
      <c r="D29" s="18">
        <f>+B29+30</f>
        <v>40849</v>
      </c>
      <c r="E29" s="19" t="s">
        <v>1362</v>
      </c>
      <c r="F29" s="19" t="s">
        <v>1363</v>
      </c>
      <c r="G29" s="21">
        <v>901.52</v>
      </c>
    </row>
    <row r="30" spans="1:7" ht="15" x14ac:dyDescent="0.2">
      <c r="A30" s="22"/>
      <c r="B30" s="22"/>
      <c r="C30" s="23"/>
      <c r="D30" s="24"/>
      <c r="E30" s="25"/>
      <c r="F30" s="26" t="s">
        <v>24</v>
      </c>
      <c r="G30" s="36">
        <f>SUM(G29:G29)</f>
        <v>901.52</v>
      </c>
    </row>
  </sheetData>
  <sheetProtection selectLockedCells="1" selectUnlockedCells="1"/>
  <mergeCells count="5">
    <mergeCell ref="F1:G1"/>
    <mergeCell ref="A5:G5"/>
    <mergeCell ref="A18:G20"/>
    <mergeCell ref="F22:G22"/>
    <mergeCell ref="A26:G26"/>
  </mergeCells>
  <printOptions horizontalCentered="1"/>
  <pageMargins left="0" right="0" top="0.74791666666666667" bottom="0.74791666666666667" header="0.51180555555555551" footer="0.51180555555555551"/>
  <pageSetup paperSize="9" scale="85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40"/>
  <sheetViews>
    <sheetView workbookViewId="0"/>
  </sheetViews>
  <sheetFormatPr baseColWidth="10" defaultColWidth="10.7109375" defaultRowHeight="12.75" x14ac:dyDescent="0.2"/>
  <cols>
    <col min="1" max="1" width="4.42578125" customWidth="1"/>
    <col min="2" max="2" width="12.85546875" customWidth="1"/>
    <col min="4" max="4" width="13" customWidth="1"/>
    <col min="5" max="5" width="42.28515625" customWidth="1"/>
    <col min="6" max="6" width="36.7109375" customWidth="1"/>
    <col min="7" max="7" width="14.140625" customWidth="1"/>
    <col min="9" max="9" width="12.42578125" customWidth="1"/>
  </cols>
  <sheetData>
    <row r="1" spans="1:7" ht="15" customHeight="1" x14ac:dyDescent="0.3">
      <c r="A1" s="1"/>
      <c r="B1" s="2"/>
      <c r="C1" s="3"/>
      <c r="D1" s="4"/>
      <c r="E1" s="5"/>
      <c r="F1" s="207" t="s">
        <v>0</v>
      </c>
      <c r="G1" s="207"/>
    </row>
    <row r="2" spans="1:7" ht="18.75" x14ac:dyDescent="0.3">
      <c r="A2" s="7" t="s">
        <v>1</v>
      </c>
      <c r="B2" s="7"/>
      <c r="C2" s="3"/>
      <c r="D2" s="4"/>
      <c r="E2" s="5"/>
      <c r="F2" s="5"/>
      <c r="G2" s="8"/>
    </row>
    <row r="3" spans="1:7" ht="15" x14ac:dyDescent="0.3">
      <c r="A3" s="1"/>
      <c r="B3" s="2"/>
      <c r="C3" s="3"/>
      <c r="D3" s="4"/>
      <c r="E3" s="5"/>
      <c r="F3" s="5"/>
      <c r="G3" s="8"/>
    </row>
    <row r="4" spans="1:7" ht="15" x14ac:dyDescent="0.3">
      <c r="A4" s="1"/>
      <c r="B4" s="2"/>
      <c r="C4" s="3"/>
      <c r="D4" s="4"/>
      <c r="E4" s="5"/>
      <c r="F4" s="5"/>
      <c r="G4" s="8"/>
    </row>
    <row r="5" spans="1:7" ht="18" x14ac:dyDescent="0.25">
      <c r="A5" s="208" t="s">
        <v>181</v>
      </c>
      <c r="B5" s="208"/>
      <c r="C5" s="208"/>
      <c r="D5" s="208"/>
      <c r="E5" s="208"/>
      <c r="F5" s="208"/>
      <c r="G5" s="208"/>
    </row>
    <row r="6" spans="1:7" ht="15" x14ac:dyDescent="0.3">
      <c r="A6" s="1"/>
      <c r="B6" s="9"/>
      <c r="C6" s="9"/>
      <c r="D6" s="9"/>
      <c r="E6" s="9"/>
      <c r="F6" s="10"/>
      <c r="G6" s="11"/>
    </row>
    <row r="7" spans="1:7" x14ac:dyDescent="0.2">
      <c r="A7" s="12" t="s">
        <v>2</v>
      </c>
      <c r="B7" s="12" t="s">
        <v>3</v>
      </c>
      <c r="C7" s="13" t="s">
        <v>4</v>
      </c>
      <c r="D7" s="14" t="s">
        <v>5</v>
      </c>
      <c r="E7" s="13" t="s">
        <v>6</v>
      </c>
      <c r="F7" s="13" t="s">
        <v>7</v>
      </c>
      <c r="G7" s="13" t="s">
        <v>8</v>
      </c>
    </row>
    <row r="8" spans="1:7" s="1" customFormat="1" ht="30" x14ac:dyDescent="0.3">
      <c r="A8" s="15">
        <v>1</v>
      </c>
      <c r="B8" s="16">
        <v>40569</v>
      </c>
      <c r="C8" s="17" t="s">
        <v>182</v>
      </c>
      <c r="D8" s="18">
        <f>+B8+30</f>
        <v>40599</v>
      </c>
      <c r="E8" s="19" t="s">
        <v>183</v>
      </c>
      <c r="F8" s="20" t="s">
        <v>184</v>
      </c>
      <c r="G8" s="21">
        <v>65.69</v>
      </c>
    </row>
    <row r="9" spans="1:7" s="1" customFormat="1" ht="30" x14ac:dyDescent="0.3">
      <c r="A9" s="15">
        <v>2</v>
      </c>
      <c r="B9" s="16">
        <v>40563</v>
      </c>
      <c r="C9" s="17" t="s">
        <v>185</v>
      </c>
      <c r="D9" s="18">
        <f>+B9+30</f>
        <v>40593</v>
      </c>
      <c r="E9" s="19" t="s">
        <v>183</v>
      </c>
      <c r="F9" s="20" t="s">
        <v>12</v>
      </c>
      <c r="G9" s="21">
        <v>48.72</v>
      </c>
    </row>
    <row r="10" spans="1:7" s="1" customFormat="1" ht="30" x14ac:dyDescent="0.3">
      <c r="A10" s="15">
        <v>3</v>
      </c>
      <c r="B10" s="16">
        <v>40549</v>
      </c>
      <c r="C10" s="17" t="s">
        <v>186</v>
      </c>
      <c r="D10" s="18">
        <f>+B10+30</f>
        <v>40579</v>
      </c>
      <c r="E10" s="19" t="s">
        <v>183</v>
      </c>
      <c r="F10" s="20" t="s">
        <v>187</v>
      </c>
      <c r="G10" s="21">
        <v>15.23</v>
      </c>
    </row>
    <row r="11" spans="1:7" s="1" customFormat="1" ht="30" x14ac:dyDescent="0.3">
      <c r="A11" s="15">
        <v>4</v>
      </c>
      <c r="B11" s="16">
        <v>40563</v>
      </c>
      <c r="C11" s="17" t="s">
        <v>188</v>
      </c>
      <c r="D11" s="18">
        <f>+B11+30</f>
        <v>40593</v>
      </c>
      <c r="E11" s="19" t="s">
        <v>189</v>
      </c>
      <c r="F11" s="20" t="s">
        <v>190</v>
      </c>
      <c r="G11" s="21">
        <v>157.56</v>
      </c>
    </row>
    <row r="12" spans="1:7" s="1" customFormat="1" ht="30" x14ac:dyDescent="0.3">
      <c r="A12" s="15">
        <v>5</v>
      </c>
      <c r="B12" s="16">
        <v>40563</v>
      </c>
      <c r="C12" s="17" t="s">
        <v>191</v>
      </c>
      <c r="D12" s="18">
        <f>+B12+30</f>
        <v>40593</v>
      </c>
      <c r="E12" s="19" t="s">
        <v>192</v>
      </c>
      <c r="F12" s="20" t="s">
        <v>193</v>
      </c>
      <c r="G12" s="21">
        <v>47.6</v>
      </c>
    </row>
    <row r="13" spans="1:7" s="1" customFormat="1" ht="30" x14ac:dyDescent="0.3">
      <c r="A13" s="15">
        <v>6</v>
      </c>
      <c r="B13" s="16">
        <v>40578</v>
      </c>
      <c r="C13" s="17" t="s">
        <v>194</v>
      </c>
      <c r="D13" s="18">
        <f>+B13+15</f>
        <v>40593</v>
      </c>
      <c r="E13" s="19" t="s">
        <v>195</v>
      </c>
      <c r="F13" s="20" t="s">
        <v>196</v>
      </c>
      <c r="G13" s="21">
        <v>476</v>
      </c>
    </row>
    <row r="14" spans="1:7" s="1" customFormat="1" ht="30" x14ac:dyDescent="0.3">
      <c r="A14" s="15">
        <v>7</v>
      </c>
      <c r="B14" s="16">
        <v>40577</v>
      </c>
      <c r="C14" s="17" t="s">
        <v>197</v>
      </c>
      <c r="D14" s="18">
        <f>+B14</f>
        <v>40577</v>
      </c>
      <c r="E14" s="19" t="s">
        <v>70</v>
      </c>
      <c r="F14" s="20" t="s">
        <v>71</v>
      </c>
      <c r="G14" s="21">
        <v>3749.75</v>
      </c>
    </row>
    <row r="15" spans="1:7" s="1" customFormat="1" ht="30" x14ac:dyDescent="0.3">
      <c r="A15" s="15">
        <v>8</v>
      </c>
      <c r="B15" s="16">
        <v>40575</v>
      </c>
      <c r="C15" s="17" t="s">
        <v>198</v>
      </c>
      <c r="D15" s="18">
        <f>+B15</f>
        <v>40575</v>
      </c>
      <c r="E15" s="19" t="s">
        <v>199</v>
      </c>
      <c r="F15" s="20" t="s">
        <v>200</v>
      </c>
      <c r="G15" s="21">
        <v>214.2</v>
      </c>
    </row>
    <row r="16" spans="1:7" s="1" customFormat="1" ht="30" x14ac:dyDescent="0.3">
      <c r="A16" s="15">
        <v>9</v>
      </c>
      <c r="B16" s="16">
        <v>40575</v>
      </c>
      <c r="C16" s="17" t="s">
        <v>201</v>
      </c>
      <c r="D16" s="18">
        <f>+B16</f>
        <v>40575</v>
      </c>
      <c r="E16" s="19" t="s">
        <v>199</v>
      </c>
      <c r="F16" s="20" t="s">
        <v>200</v>
      </c>
      <c r="G16" s="21">
        <v>214.2</v>
      </c>
    </row>
    <row r="17" spans="1:9" ht="15" x14ac:dyDescent="0.2">
      <c r="A17" s="22"/>
      <c r="B17" s="22"/>
      <c r="C17" s="23"/>
      <c r="D17" s="24"/>
      <c r="E17" s="25"/>
      <c r="F17" s="26" t="s">
        <v>24</v>
      </c>
      <c r="G17" s="27">
        <f>SUM(G8:G16)</f>
        <v>4988.95</v>
      </c>
    </row>
    <row r="26" spans="1:9" s="1" customFormat="1" ht="15" x14ac:dyDescent="0.3">
      <c r="F26" s="5"/>
      <c r="G26" s="11"/>
      <c r="I26" s="28"/>
    </row>
    <row r="27" spans="1:9" s="1" customFormat="1" ht="15" x14ac:dyDescent="0.3">
      <c r="F27" s="5"/>
      <c r="G27" s="11"/>
      <c r="I27" s="28"/>
    </row>
    <row r="28" spans="1:9" s="1" customFormat="1" ht="15" customHeight="1" x14ac:dyDescent="0.3">
      <c r="A28" s="29"/>
      <c r="B28" s="30"/>
      <c r="C28" s="3"/>
      <c r="D28" s="30"/>
      <c r="E28" s="5"/>
      <c r="F28" s="207" t="s">
        <v>0</v>
      </c>
      <c r="G28" s="207"/>
      <c r="I28" s="28"/>
    </row>
    <row r="29" spans="1:9" s="1" customFormat="1" ht="18.75" x14ac:dyDescent="0.3">
      <c r="A29" s="31" t="s">
        <v>1</v>
      </c>
      <c r="B29" s="29"/>
      <c r="C29" s="3"/>
      <c r="D29" s="30"/>
      <c r="E29" s="5"/>
      <c r="F29" s="29"/>
      <c r="G29" s="29"/>
      <c r="I29" s="28"/>
    </row>
    <row r="30" spans="1:9" s="1" customFormat="1" ht="15" x14ac:dyDescent="0.3">
      <c r="A30" s="29"/>
      <c r="B30" s="30"/>
      <c r="C30" s="3"/>
      <c r="D30" s="30"/>
      <c r="E30" s="5"/>
      <c r="F30" s="5"/>
      <c r="G30" s="32"/>
      <c r="I30" s="28"/>
    </row>
    <row r="31" spans="1:9" s="1" customFormat="1" ht="15" x14ac:dyDescent="0.3">
      <c r="A31" s="29"/>
      <c r="B31" s="30"/>
      <c r="C31" s="3"/>
      <c r="D31" s="30"/>
      <c r="E31" s="5"/>
      <c r="F31" s="5"/>
      <c r="G31" s="32"/>
    </row>
    <row r="32" spans="1:9" s="1" customFormat="1" ht="18.75" x14ac:dyDescent="0.3">
      <c r="A32" s="208" t="s">
        <v>202</v>
      </c>
      <c r="B32" s="208"/>
      <c r="C32" s="208"/>
      <c r="D32" s="208"/>
      <c r="E32" s="208"/>
      <c r="F32" s="208"/>
      <c r="G32" s="208"/>
    </row>
    <row r="33" spans="1:8" s="1" customFormat="1" ht="15" x14ac:dyDescent="0.3">
      <c r="A33" s="29"/>
      <c r="B33" s="9"/>
      <c r="C33" s="9"/>
      <c r="D33" s="9"/>
      <c r="E33" s="9"/>
      <c r="F33" s="10"/>
      <c r="G33" s="11"/>
    </row>
    <row r="34" spans="1:8" s="1" customFormat="1" ht="15" x14ac:dyDescent="0.3">
      <c r="A34" s="12" t="s">
        <v>2</v>
      </c>
      <c r="B34" s="12" t="s">
        <v>3</v>
      </c>
      <c r="C34" s="13" t="s">
        <v>4</v>
      </c>
      <c r="D34" s="14" t="s">
        <v>25</v>
      </c>
      <c r="E34" s="13" t="s">
        <v>6</v>
      </c>
      <c r="F34" s="13" t="s">
        <v>7</v>
      </c>
      <c r="G34" s="13" t="s">
        <v>8</v>
      </c>
    </row>
    <row r="35" spans="1:8" s="1" customFormat="1" ht="36" customHeight="1" x14ac:dyDescent="0.3">
      <c r="A35" s="15">
        <v>1</v>
      </c>
      <c r="B35" s="16">
        <v>40563</v>
      </c>
      <c r="C35" s="33" t="s">
        <v>203</v>
      </c>
      <c r="D35" s="18" t="s">
        <v>204</v>
      </c>
      <c r="E35" s="19" t="s">
        <v>205</v>
      </c>
      <c r="F35" s="20" t="s">
        <v>206</v>
      </c>
      <c r="G35" s="21">
        <f>8.93+446.25</f>
        <v>455.18</v>
      </c>
      <c r="H35" s="34" t="s">
        <v>27</v>
      </c>
    </row>
    <row r="36" spans="1:8" s="1" customFormat="1" ht="40.5" customHeight="1" x14ac:dyDescent="0.3">
      <c r="A36" s="15">
        <v>2</v>
      </c>
      <c r="B36" s="16">
        <v>40591</v>
      </c>
      <c r="C36" s="33" t="s">
        <v>29</v>
      </c>
      <c r="D36" s="18" t="s">
        <v>207</v>
      </c>
      <c r="E36" s="19" t="s">
        <v>208</v>
      </c>
      <c r="F36" s="20" t="s">
        <v>209</v>
      </c>
      <c r="G36" s="21">
        <v>1375.82</v>
      </c>
      <c r="H36" s="34" t="s">
        <v>27</v>
      </c>
    </row>
    <row r="37" spans="1:8" s="1" customFormat="1" ht="40.5" customHeight="1" x14ac:dyDescent="0.3">
      <c r="A37" s="15">
        <v>3</v>
      </c>
      <c r="B37" s="16">
        <v>40603</v>
      </c>
      <c r="C37" s="33" t="s">
        <v>210</v>
      </c>
      <c r="D37" s="18" t="s">
        <v>211</v>
      </c>
      <c r="E37" s="19" t="s">
        <v>212</v>
      </c>
      <c r="F37" s="20" t="s">
        <v>213</v>
      </c>
      <c r="G37" s="21">
        <f>4298.22-2298.22</f>
        <v>2000.0000000000005</v>
      </c>
      <c r="H37" s="34" t="s">
        <v>27</v>
      </c>
    </row>
    <row r="38" spans="1:8" s="1" customFormat="1" ht="40.5" customHeight="1" x14ac:dyDescent="0.3">
      <c r="A38" s="15">
        <v>4</v>
      </c>
      <c r="B38" s="16">
        <v>40603</v>
      </c>
      <c r="C38" s="33" t="s">
        <v>210</v>
      </c>
      <c r="D38" s="18" t="s">
        <v>214</v>
      </c>
      <c r="E38" s="19" t="s">
        <v>212</v>
      </c>
      <c r="F38" s="20" t="s">
        <v>213</v>
      </c>
      <c r="G38" s="21">
        <f>4298.22-2000</f>
        <v>2298.2200000000003</v>
      </c>
      <c r="H38" s="34" t="s">
        <v>27</v>
      </c>
    </row>
    <row r="39" spans="1:8" s="1" customFormat="1" ht="15" x14ac:dyDescent="0.3">
      <c r="A39" s="29"/>
      <c r="B39" s="30"/>
      <c r="C39" s="3"/>
      <c r="D39" s="30"/>
      <c r="E39" s="5"/>
      <c r="F39" s="26" t="s">
        <v>24</v>
      </c>
      <c r="G39" s="27">
        <f>SUM(G35:G38)</f>
        <v>6129.2200000000012</v>
      </c>
    </row>
    <row r="40" spans="1:8" s="1" customFormat="1" ht="15" x14ac:dyDescent="0.3">
      <c r="F40" s="5"/>
      <c r="G40" s="11"/>
    </row>
  </sheetData>
  <sheetProtection selectLockedCells="1" selectUnlockedCells="1"/>
  <mergeCells count="4">
    <mergeCell ref="F1:G1"/>
    <mergeCell ref="A5:G5"/>
    <mergeCell ref="F28:G28"/>
    <mergeCell ref="A32:G32"/>
  </mergeCells>
  <printOptions horizontalCentered="1"/>
  <pageMargins left="0" right="0" top="0.98402777777777772" bottom="0.98402777777777772" header="0.51180555555555551" footer="0.51180555555555551"/>
  <pageSetup paperSize="9" scale="75" firstPageNumber="0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/>
  <dimension ref="A1:G9"/>
  <sheetViews>
    <sheetView workbookViewId="0">
      <selection activeCell="G28" sqref="G28"/>
    </sheetView>
  </sheetViews>
  <sheetFormatPr baseColWidth="10" defaultColWidth="10.7109375" defaultRowHeight="12.75" x14ac:dyDescent="0.2"/>
  <cols>
    <col min="1" max="1" width="3.85546875" customWidth="1"/>
    <col min="2" max="2" width="12.42578125" customWidth="1"/>
    <col min="3" max="3" width="6.5703125" customWidth="1"/>
    <col min="4" max="4" width="12.42578125" customWidth="1"/>
    <col min="5" max="5" width="29.5703125" customWidth="1"/>
    <col min="6" max="6" width="24.7109375" customWidth="1"/>
    <col min="7" max="7" width="11.85546875" customWidth="1"/>
  </cols>
  <sheetData>
    <row r="1" spans="1:7" ht="15" customHeight="1" x14ac:dyDescent="0.3">
      <c r="A1" s="1"/>
      <c r="B1" s="2"/>
      <c r="C1" s="3"/>
      <c r="D1" s="4"/>
      <c r="E1" s="5"/>
      <c r="F1" s="207" t="s">
        <v>0</v>
      </c>
      <c r="G1" s="207"/>
    </row>
    <row r="2" spans="1:7" ht="18.75" x14ac:dyDescent="0.3">
      <c r="A2" s="7" t="s">
        <v>1</v>
      </c>
      <c r="B2" s="7"/>
      <c r="C2" s="3"/>
      <c r="D2" s="4"/>
      <c r="E2" s="5"/>
      <c r="F2" s="5"/>
      <c r="G2" s="8"/>
    </row>
    <row r="3" spans="1:7" ht="15" x14ac:dyDescent="0.3">
      <c r="A3" s="1"/>
      <c r="B3" s="2"/>
      <c r="C3" s="3"/>
      <c r="D3" s="4"/>
      <c r="E3" s="5"/>
      <c r="F3" s="5"/>
      <c r="G3" s="8"/>
    </row>
    <row r="4" spans="1:7" ht="15" x14ac:dyDescent="0.3">
      <c r="A4" s="1"/>
      <c r="B4" s="2"/>
      <c r="C4" s="3"/>
      <c r="D4" s="4"/>
      <c r="E4" s="5"/>
      <c r="F4" s="5"/>
      <c r="G4" s="8"/>
    </row>
    <row r="5" spans="1:7" ht="18" x14ac:dyDescent="0.25">
      <c r="A5" s="208" t="s">
        <v>1364</v>
      </c>
      <c r="B5" s="208"/>
      <c r="C5" s="208"/>
      <c r="D5" s="208"/>
      <c r="E5" s="208"/>
      <c r="F5" s="208"/>
      <c r="G5" s="208"/>
    </row>
    <row r="6" spans="1:7" ht="15" x14ac:dyDescent="0.3">
      <c r="A6" s="1"/>
      <c r="B6" s="9"/>
      <c r="C6" s="9"/>
      <c r="D6" s="9"/>
      <c r="E6" s="9"/>
      <c r="F6" s="10"/>
      <c r="G6" s="11"/>
    </row>
    <row r="7" spans="1:7" x14ac:dyDescent="0.2">
      <c r="A7" s="12" t="s">
        <v>2</v>
      </c>
      <c r="B7" s="12" t="s">
        <v>3</v>
      </c>
      <c r="C7" s="13" t="s">
        <v>4</v>
      </c>
      <c r="D7" s="14" t="s">
        <v>5</v>
      </c>
      <c r="E7" s="13" t="s">
        <v>6</v>
      </c>
      <c r="F7" s="13" t="s">
        <v>7</v>
      </c>
      <c r="G7" s="13" t="s">
        <v>8</v>
      </c>
    </row>
    <row r="8" spans="1:7" ht="30" x14ac:dyDescent="0.3">
      <c r="A8" s="52">
        <v>1</v>
      </c>
      <c r="B8" s="53">
        <v>40844</v>
      </c>
      <c r="C8" s="17" t="s">
        <v>1365</v>
      </c>
      <c r="D8" s="96">
        <v>40851</v>
      </c>
      <c r="E8" s="19" t="s">
        <v>1366</v>
      </c>
      <c r="F8" s="20" t="s">
        <v>1367</v>
      </c>
      <c r="G8" s="21">
        <v>50.42</v>
      </c>
    </row>
    <row r="9" spans="1:7" ht="15" x14ac:dyDescent="0.2">
      <c r="A9" s="22"/>
      <c r="B9" s="22"/>
      <c r="C9" s="23"/>
      <c r="D9" s="24"/>
      <c r="E9" s="25"/>
      <c r="F9" s="26" t="s">
        <v>24</v>
      </c>
      <c r="G9" s="27">
        <f>SUM(G8:G8)</f>
        <v>50.42</v>
      </c>
    </row>
  </sheetData>
  <sheetProtection selectLockedCells="1" selectUnlockedCells="1"/>
  <mergeCells count="2">
    <mergeCell ref="F1:G1"/>
    <mergeCell ref="A5:G5"/>
  </mergeCells>
  <printOptions horizontalCentered="1"/>
  <pageMargins left="0" right="0" top="0.74791666666666667" bottom="0.74791666666666667" header="0.51180555555555551" footer="0.51180555555555551"/>
  <pageSetup paperSize="9" scale="90" firstPageNumber="0"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pageSetUpPr fitToPage="1"/>
  </sheetPr>
  <dimension ref="A1:J71"/>
  <sheetViews>
    <sheetView topLeftCell="A34" workbookViewId="0">
      <selection activeCell="G28" sqref="G28"/>
    </sheetView>
  </sheetViews>
  <sheetFormatPr baseColWidth="10" defaultColWidth="10.7109375" defaultRowHeight="12.75" x14ac:dyDescent="0.2"/>
  <cols>
    <col min="1" max="1" width="3.85546875" customWidth="1"/>
    <col min="2" max="2" width="13.140625" customWidth="1"/>
    <col min="3" max="3" width="13.28515625" customWidth="1"/>
    <col min="4" max="4" width="12.5703125" customWidth="1"/>
    <col min="5" max="5" width="28.7109375" customWidth="1"/>
    <col min="6" max="6" width="27.7109375" customWidth="1"/>
    <col min="7" max="7" width="15.42578125" customWidth="1"/>
  </cols>
  <sheetData>
    <row r="1" spans="1:10" ht="15" customHeight="1" x14ac:dyDescent="0.3">
      <c r="A1" s="1"/>
      <c r="B1" s="2"/>
      <c r="C1" s="3"/>
      <c r="D1" s="4"/>
      <c r="E1" s="5"/>
      <c r="F1" s="207" t="s">
        <v>0</v>
      </c>
      <c r="G1" s="207"/>
    </row>
    <row r="2" spans="1:10" ht="18.75" x14ac:dyDescent="0.3">
      <c r="A2" s="7" t="s">
        <v>1</v>
      </c>
      <c r="B2" s="7"/>
      <c r="C2" s="3"/>
      <c r="D2" s="4"/>
      <c r="E2" s="5"/>
      <c r="F2" s="5"/>
      <c r="G2" s="8"/>
    </row>
    <row r="3" spans="1:10" ht="15" x14ac:dyDescent="0.3">
      <c r="A3" s="1"/>
      <c r="B3" s="2"/>
      <c r="C3" s="3"/>
      <c r="D3" s="4"/>
      <c r="E3" s="5"/>
      <c r="F3" s="5"/>
      <c r="G3" s="8"/>
    </row>
    <row r="4" spans="1:10" ht="15" x14ac:dyDescent="0.3">
      <c r="A4" s="1"/>
      <c r="B4" s="2"/>
      <c r="C4" s="3"/>
      <c r="D4" s="4"/>
      <c r="E4" s="5"/>
      <c r="F4" s="5"/>
      <c r="G4" s="8"/>
    </row>
    <row r="5" spans="1:10" ht="18" x14ac:dyDescent="0.25">
      <c r="A5" s="208" t="s">
        <v>1368</v>
      </c>
      <c r="B5" s="208"/>
      <c r="C5" s="208"/>
      <c r="D5" s="208"/>
      <c r="E5" s="208"/>
      <c r="F5" s="208"/>
      <c r="G5" s="208"/>
    </row>
    <row r="6" spans="1:10" ht="15" x14ac:dyDescent="0.3">
      <c r="A6" s="1"/>
      <c r="B6" s="9"/>
      <c r="C6" s="9"/>
      <c r="D6" s="9"/>
      <c r="E6" s="9"/>
      <c r="F6" s="10"/>
      <c r="G6" s="11"/>
    </row>
    <row r="7" spans="1:10" x14ac:dyDescent="0.2">
      <c r="A7" s="12" t="s">
        <v>2</v>
      </c>
      <c r="B7" s="12" t="s">
        <v>3</v>
      </c>
      <c r="C7" s="13" t="s">
        <v>4</v>
      </c>
      <c r="D7" s="14" t="s">
        <v>5</v>
      </c>
      <c r="E7" s="13" t="s">
        <v>6</v>
      </c>
      <c r="F7" s="13" t="s">
        <v>7</v>
      </c>
      <c r="G7" s="13" t="s">
        <v>32</v>
      </c>
    </row>
    <row r="8" spans="1:10" ht="15" x14ac:dyDescent="0.3">
      <c r="A8" s="15">
        <v>1</v>
      </c>
      <c r="B8" s="16">
        <v>40836</v>
      </c>
      <c r="C8" s="33" t="s">
        <v>1369</v>
      </c>
      <c r="D8" s="18">
        <f t="shared" ref="D8:D14" si="0">+B8+15</f>
        <v>40851</v>
      </c>
      <c r="E8" s="19" t="s">
        <v>1370</v>
      </c>
      <c r="F8" s="19" t="s">
        <v>1371</v>
      </c>
      <c r="G8" s="21">
        <v>290</v>
      </c>
    </row>
    <row r="9" spans="1:10" ht="15" x14ac:dyDescent="0.3">
      <c r="A9" s="15">
        <v>2</v>
      </c>
      <c r="B9" s="16">
        <v>40836</v>
      </c>
      <c r="C9" s="33" t="s">
        <v>1372</v>
      </c>
      <c r="D9" s="18">
        <f t="shared" si="0"/>
        <v>40851</v>
      </c>
      <c r="E9" s="19" t="s">
        <v>1370</v>
      </c>
      <c r="F9" s="19" t="s">
        <v>1371</v>
      </c>
      <c r="G9" s="21">
        <v>460</v>
      </c>
    </row>
    <row r="10" spans="1:10" ht="15" x14ac:dyDescent="0.3">
      <c r="A10" s="15">
        <v>3</v>
      </c>
      <c r="B10" s="16">
        <v>40836</v>
      </c>
      <c r="C10" s="33" t="s">
        <v>1373</v>
      </c>
      <c r="D10" s="18">
        <f t="shared" si="0"/>
        <v>40851</v>
      </c>
      <c r="E10" s="19" t="s">
        <v>1370</v>
      </c>
      <c r="F10" s="19" t="s">
        <v>1371</v>
      </c>
      <c r="G10" s="21">
        <v>445</v>
      </c>
      <c r="J10" s="35"/>
    </row>
    <row r="11" spans="1:10" ht="30" x14ac:dyDescent="0.3">
      <c r="A11" s="15">
        <v>4</v>
      </c>
      <c r="B11" s="16">
        <v>40836</v>
      </c>
      <c r="C11" s="33" t="s">
        <v>1374</v>
      </c>
      <c r="D11" s="18">
        <f t="shared" si="0"/>
        <v>40851</v>
      </c>
      <c r="E11" s="19" t="s">
        <v>233</v>
      </c>
      <c r="F11" s="19" t="s">
        <v>1375</v>
      </c>
      <c r="G11" s="21">
        <f>92+1.84</f>
        <v>93.84</v>
      </c>
      <c r="J11" s="35"/>
    </row>
    <row r="12" spans="1:10" ht="15" x14ac:dyDescent="0.3">
      <c r="A12" s="15">
        <v>5</v>
      </c>
      <c r="B12" s="16">
        <v>40823</v>
      </c>
      <c r="C12" s="33" t="s">
        <v>1376</v>
      </c>
      <c r="D12" s="18">
        <f t="shared" si="0"/>
        <v>40838</v>
      </c>
      <c r="E12" s="19" t="s">
        <v>233</v>
      </c>
      <c r="F12" s="19" t="s">
        <v>1377</v>
      </c>
      <c r="G12" s="21">
        <v>-19.2</v>
      </c>
    </row>
    <row r="13" spans="1:10" ht="30" x14ac:dyDescent="0.3">
      <c r="A13" s="15">
        <v>6</v>
      </c>
      <c r="B13" s="16">
        <v>40782</v>
      </c>
      <c r="C13" s="33" t="s">
        <v>1378</v>
      </c>
      <c r="D13" s="18">
        <f t="shared" si="0"/>
        <v>40797</v>
      </c>
      <c r="E13" s="19" t="s">
        <v>233</v>
      </c>
      <c r="F13" s="19" t="s">
        <v>1375</v>
      </c>
      <c r="G13" s="21">
        <f>203.2+4.06</f>
        <v>207.26</v>
      </c>
    </row>
    <row r="14" spans="1:10" ht="30" x14ac:dyDescent="0.3">
      <c r="A14" s="15">
        <v>7</v>
      </c>
      <c r="B14" s="16">
        <v>40842</v>
      </c>
      <c r="C14" s="33" t="s">
        <v>1379</v>
      </c>
      <c r="D14" s="18">
        <f t="shared" si="0"/>
        <v>40857</v>
      </c>
      <c r="E14" s="19" t="s">
        <v>882</v>
      </c>
      <c r="F14" s="19" t="s">
        <v>1380</v>
      </c>
      <c r="G14" s="21">
        <v>246.62</v>
      </c>
    </row>
    <row r="15" spans="1:10" ht="30" x14ac:dyDescent="0.3">
      <c r="A15" s="15">
        <v>8</v>
      </c>
      <c r="B15" s="16">
        <v>40819</v>
      </c>
      <c r="C15" s="33" t="s">
        <v>1381</v>
      </c>
      <c r="D15" s="18">
        <f>+B15</f>
        <v>40819</v>
      </c>
      <c r="E15" s="19" t="s">
        <v>1382</v>
      </c>
      <c r="F15" s="19" t="s">
        <v>1383</v>
      </c>
      <c r="G15" s="21">
        <v>106.2</v>
      </c>
    </row>
    <row r="16" spans="1:10" ht="30" x14ac:dyDescent="0.3">
      <c r="A16" s="15">
        <v>9</v>
      </c>
      <c r="B16" s="16">
        <v>40840</v>
      </c>
      <c r="C16" s="33" t="s">
        <v>1384</v>
      </c>
      <c r="D16" s="18">
        <f>+B16</f>
        <v>40840</v>
      </c>
      <c r="E16" s="19" t="s">
        <v>1385</v>
      </c>
      <c r="F16" s="19" t="s">
        <v>800</v>
      </c>
      <c r="G16" s="21">
        <v>247.8</v>
      </c>
    </row>
    <row r="17" spans="1:8" ht="30" x14ac:dyDescent="0.3">
      <c r="A17" s="15">
        <v>10</v>
      </c>
      <c r="B17" s="16">
        <v>40837</v>
      </c>
      <c r="C17" s="33" t="s">
        <v>1386</v>
      </c>
      <c r="D17" s="18">
        <f>+B17</f>
        <v>40837</v>
      </c>
      <c r="E17" s="19" t="s">
        <v>1385</v>
      </c>
      <c r="F17" s="19" t="s">
        <v>1387</v>
      </c>
      <c r="G17" s="21">
        <v>1357</v>
      </c>
    </row>
    <row r="18" spans="1:8" ht="30" x14ac:dyDescent="0.3">
      <c r="A18" s="15">
        <v>11</v>
      </c>
      <c r="B18" s="16">
        <v>40838</v>
      </c>
      <c r="C18" s="33" t="s">
        <v>1388</v>
      </c>
      <c r="D18" s="18">
        <f>+B18+15</f>
        <v>40853</v>
      </c>
      <c r="E18" s="19" t="s">
        <v>1389</v>
      </c>
      <c r="F18" s="19" t="s">
        <v>1390</v>
      </c>
      <c r="G18" s="21">
        <v>145.01</v>
      </c>
    </row>
    <row r="19" spans="1:8" ht="15" x14ac:dyDescent="0.3">
      <c r="A19" s="15">
        <v>12</v>
      </c>
      <c r="B19" s="16">
        <v>40842</v>
      </c>
      <c r="C19" s="33" t="s">
        <v>1391</v>
      </c>
      <c r="D19" s="18">
        <f>+B19+15</f>
        <v>40857</v>
      </c>
      <c r="E19" s="19" t="s">
        <v>17</v>
      </c>
      <c r="F19" s="19" t="s">
        <v>1238</v>
      </c>
      <c r="G19" s="21">
        <v>660.8</v>
      </c>
    </row>
    <row r="20" spans="1:8" ht="15" x14ac:dyDescent="0.2">
      <c r="A20" s="22"/>
      <c r="B20" s="22"/>
      <c r="C20" s="23"/>
      <c r="D20" s="24"/>
      <c r="E20" s="25"/>
      <c r="F20" s="26" t="s">
        <v>24</v>
      </c>
      <c r="G20" s="36">
        <f>SUM(G8:G19)</f>
        <v>4240.33</v>
      </c>
    </row>
    <row r="25" spans="1:8" ht="15" customHeight="1" x14ac:dyDescent="0.3">
      <c r="A25" s="29"/>
      <c r="B25" s="30"/>
      <c r="C25" s="37"/>
      <c r="D25" s="30"/>
      <c r="E25" s="5"/>
      <c r="F25" s="207" t="s">
        <v>0</v>
      </c>
      <c r="G25" s="207"/>
    </row>
    <row r="26" spans="1:8" ht="18.75" x14ac:dyDescent="0.3">
      <c r="A26" s="31" t="s">
        <v>1</v>
      </c>
      <c r="B26" s="29"/>
      <c r="C26" s="37"/>
      <c r="D26" s="30"/>
      <c r="E26" s="5"/>
      <c r="F26" s="29"/>
      <c r="G26" s="29"/>
    </row>
    <row r="27" spans="1:8" ht="15" x14ac:dyDescent="0.3">
      <c r="A27" s="29"/>
      <c r="B27" s="30"/>
      <c r="C27" s="37"/>
      <c r="D27" s="30"/>
      <c r="E27" s="5"/>
      <c r="F27" s="5"/>
      <c r="G27" s="32"/>
    </row>
    <row r="28" spans="1:8" ht="15" x14ac:dyDescent="0.3">
      <c r="A28" s="29"/>
      <c r="B28" s="30"/>
      <c r="C28" s="37"/>
      <c r="D28" s="30"/>
      <c r="E28" s="5"/>
      <c r="F28" s="5"/>
      <c r="G28" s="32"/>
    </row>
    <row r="29" spans="1:8" ht="18" x14ac:dyDescent="0.25">
      <c r="A29" s="208" t="s">
        <v>1392</v>
      </c>
      <c r="B29" s="208"/>
      <c r="C29" s="208"/>
      <c r="D29" s="208"/>
      <c r="E29" s="208"/>
      <c r="F29" s="208"/>
      <c r="G29" s="208"/>
    </row>
    <row r="30" spans="1:8" ht="15" x14ac:dyDescent="0.3">
      <c r="A30" s="29"/>
      <c r="B30" s="9"/>
      <c r="C30" s="9"/>
      <c r="D30" s="9"/>
      <c r="E30" s="9"/>
      <c r="F30" s="10"/>
      <c r="G30" s="11"/>
    </row>
    <row r="31" spans="1:8" x14ac:dyDescent="0.2">
      <c r="A31" s="12" t="s">
        <v>2</v>
      </c>
      <c r="B31" s="12" t="s">
        <v>3</v>
      </c>
      <c r="C31" s="13" t="s">
        <v>4</v>
      </c>
      <c r="D31" s="14" t="s">
        <v>25</v>
      </c>
      <c r="E31" s="13" t="s">
        <v>6</v>
      </c>
      <c r="F31" s="13" t="s">
        <v>7</v>
      </c>
      <c r="G31" s="13" t="s">
        <v>32</v>
      </c>
    </row>
    <row r="32" spans="1:8" ht="30" x14ac:dyDescent="0.3">
      <c r="A32" s="15">
        <v>1</v>
      </c>
      <c r="B32" s="16">
        <v>40856</v>
      </c>
      <c r="C32" s="33" t="s">
        <v>1393</v>
      </c>
      <c r="D32" s="18" t="s">
        <v>1394</v>
      </c>
      <c r="E32" s="19" t="s">
        <v>913</v>
      </c>
      <c r="F32" s="19" t="s">
        <v>1395</v>
      </c>
      <c r="G32" s="21">
        <v>472</v>
      </c>
      <c r="H32" t="s">
        <v>27</v>
      </c>
    </row>
    <row r="33" spans="1:8" ht="30" x14ac:dyDescent="0.3">
      <c r="A33" s="15">
        <v>2</v>
      </c>
      <c r="B33" s="16">
        <v>40840</v>
      </c>
      <c r="C33" s="33" t="s">
        <v>1396</v>
      </c>
      <c r="D33" s="18" t="s">
        <v>1397</v>
      </c>
      <c r="E33" s="19" t="s">
        <v>1398</v>
      </c>
      <c r="F33" s="19" t="s">
        <v>96</v>
      </c>
      <c r="G33" s="21">
        <f>1345.2-(1345.2*0.04)</f>
        <v>1291.3920000000001</v>
      </c>
      <c r="H33" t="s">
        <v>27</v>
      </c>
    </row>
    <row r="34" spans="1:8" ht="30" x14ac:dyDescent="0.3">
      <c r="A34" s="15">
        <v>3</v>
      </c>
      <c r="B34" s="16">
        <v>40845</v>
      </c>
      <c r="C34" s="33" t="s">
        <v>1399</v>
      </c>
      <c r="D34" s="18" t="s">
        <v>1400</v>
      </c>
      <c r="E34" s="19" t="s">
        <v>515</v>
      </c>
      <c r="F34" s="19" t="s">
        <v>1401</v>
      </c>
      <c r="G34" s="21">
        <f>1274.4-(1274.4*0.12)</f>
        <v>1121.4720000000002</v>
      </c>
      <c r="H34" t="s">
        <v>1402</v>
      </c>
    </row>
    <row r="35" spans="1:8" ht="30" x14ac:dyDescent="0.3">
      <c r="A35" s="15">
        <v>4</v>
      </c>
      <c r="B35" s="16">
        <v>40856</v>
      </c>
      <c r="C35" s="33" t="s">
        <v>1403</v>
      </c>
      <c r="D35" s="18" t="s">
        <v>1404</v>
      </c>
      <c r="E35" s="19" t="s">
        <v>131</v>
      </c>
      <c r="F35" s="19" t="s">
        <v>1405</v>
      </c>
      <c r="G35" s="21">
        <v>680.5</v>
      </c>
      <c r="H35" t="s">
        <v>27</v>
      </c>
    </row>
    <row r="36" spans="1:8" ht="30" x14ac:dyDescent="0.3">
      <c r="A36" s="15">
        <v>5</v>
      </c>
      <c r="B36" s="16">
        <v>40854</v>
      </c>
      <c r="C36" s="33" t="s">
        <v>1406</v>
      </c>
      <c r="D36" s="18" t="s">
        <v>1407</v>
      </c>
      <c r="E36" s="19" t="s">
        <v>1408</v>
      </c>
      <c r="F36" s="19" t="s">
        <v>1409</v>
      </c>
      <c r="G36" s="21">
        <v>838</v>
      </c>
      <c r="H36" t="s">
        <v>27</v>
      </c>
    </row>
    <row r="37" spans="1:8" ht="30" x14ac:dyDescent="0.3">
      <c r="A37" s="15">
        <v>6</v>
      </c>
      <c r="B37" s="16">
        <v>40863</v>
      </c>
      <c r="C37" s="33" t="s">
        <v>403</v>
      </c>
      <c r="D37" s="18" t="s">
        <v>1410</v>
      </c>
      <c r="E37" s="19" t="s">
        <v>405</v>
      </c>
      <c r="F37" s="19" t="s">
        <v>1411</v>
      </c>
      <c r="G37" s="21">
        <v>1376.03</v>
      </c>
      <c r="H37" t="s">
        <v>27</v>
      </c>
    </row>
    <row r="38" spans="1:8" ht="45" x14ac:dyDescent="0.3">
      <c r="A38" s="15">
        <v>7</v>
      </c>
      <c r="B38" s="16">
        <v>40862</v>
      </c>
      <c r="C38" s="33" t="s">
        <v>1412</v>
      </c>
      <c r="D38" s="18" t="s">
        <v>1413</v>
      </c>
      <c r="E38" s="19" t="s">
        <v>208</v>
      </c>
      <c r="F38" s="19" t="s">
        <v>1414</v>
      </c>
      <c r="G38" s="21">
        <v>97.25</v>
      </c>
      <c r="H38" t="s">
        <v>27</v>
      </c>
    </row>
    <row r="39" spans="1:8" ht="30" x14ac:dyDescent="0.3">
      <c r="A39" s="15">
        <v>8</v>
      </c>
      <c r="B39" s="16">
        <v>40856</v>
      </c>
      <c r="C39" s="33" t="s">
        <v>1415</v>
      </c>
      <c r="D39" s="18" t="s">
        <v>1416</v>
      </c>
      <c r="E39" s="19" t="s">
        <v>260</v>
      </c>
      <c r="F39" s="19" t="s">
        <v>1417</v>
      </c>
      <c r="G39" s="21">
        <v>2148.4</v>
      </c>
      <c r="H39" t="s">
        <v>27</v>
      </c>
    </row>
    <row r="40" spans="1:8" ht="30" x14ac:dyDescent="0.3">
      <c r="A40" s="15">
        <v>9</v>
      </c>
      <c r="B40" s="16">
        <v>40856</v>
      </c>
      <c r="C40" s="33" t="s">
        <v>29</v>
      </c>
      <c r="D40" s="18" t="s">
        <v>1418</v>
      </c>
      <c r="E40" s="19" t="s">
        <v>1419</v>
      </c>
      <c r="F40" s="19" t="s">
        <v>1420</v>
      </c>
      <c r="G40" s="21">
        <v>500</v>
      </c>
      <c r="H40" t="s">
        <v>27</v>
      </c>
    </row>
    <row r="41" spans="1:8" ht="15" x14ac:dyDescent="0.3">
      <c r="A41" s="29"/>
      <c r="B41" s="30"/>
      <c r="C41" s="37"/>
      <c r="D41" s="30"/>
      <c r="E41" s="5"/>
      <c r="F41" s="46" t="s">
        <v>24</v>
      </c>
      <c r="G41" s="36">
        <f>SUM(G32:G40)</f>
        <v>8525.0439999999999</v>
      </c>
    </row>
    <row r="45" spans="1:8" x14ac:dyDescent="0.2">
      <c r="A45" s="211" t="s">
        <v>609</v>
      </c>
      <c r="B45" s="211"/>
      <c r="C45" s="211"/>
      <c r="D45" s="211"/>
      <c r="E45" s="211"/>
      <c r="F45" s="211"/>
      <c r="G45" s="211"/>
    </row>
    <row r="46" spans="1:8" x14ac:dyDescent="0.2">
      <c r="A46" s="211"/>
      <c r="B46" s="211"/>
      <c r="C46" s="211"/>
      <c r="D46" s="211"/>
      <c r="E46" s="211"/>
      <c r="F46" s="211"/>
      <c r="G46" s="211"/>
    </row>
    <row r="47" spans="1:8" x14ac:dyDescent="0.2">
      <c r="A47" s="211"/>
      <c r="B47" s="211"/>
      <c r="C47" s="211"/>
      <c r="D47" s="211"/>
      <c r="E47" s="211"/>
      <c r="F47" s="211"/>
      <c r="G47" s="211"/>
    </row>
    <row r="49" spans="1:7" ht="15" customHeight="1" x14ac:dyDescent="0.3">
      <c r="A49" s="1"/>
      <c r="B49" s="2"/>
      <c r="C49" s="3"/>
      <c r="D49" s="4"/>
      <c r="E49" s="5"/>
      <c r="F49" s="207" t="s">
        <v>0</v>
      </c>
      <c r="G49" s="207"/>
    </row>
    <row r="50" spans="1:7" ht="18.75" x14ac:dyDescent="0.3">
      <c r="A50" s="7" t="s">
        <v>1</v>
      </c>
      <c r="B50" s="7"/>
      <c r="C50" s="3"/>
      <c r="D50" s="4"/>
      <c r="E50" s="5"/>
      <c r="F50" s="5"/>
      <c r="G50" s="8"/>
    </row>
    <row r="51" spans="1:7" ht="15" x14ac:dyDescent="0.3">
      <c r="A51" s="1"/>
      <c r="B51" s="2"/>
      <c r="C51" s="3"/>
      <c r="D51" s="4"/>
      <c r="E51" s="5"/>
      <c r="F51" s="5"/>
      <c r="G51" s="8"/>
    </row>
    <row r="52" spans="1:7" ht="15" x14ac:dyDescent="0.3">
      <c r="A52" s="1"/>
      <c r="B52" s="2"/>
      <c r="C52" s="3"/>
      <c r="D52" s="4"/>
      <c r="E52" s="5"/>
      <c r="F52" s="5"/>
      <c r="G52" s="8"/>
    </row>
    <row r="53" spans="1:7" ht="18" x14ac:dyDescent="0.25">
      <c r="A53" s="208" t="s">
        <v>1368</v>
      </c>
      <c r="B53" s="208"/>
      <c r="C53" s="208"/>
      <c r="D53" s="208"/>
      <c r="E53" s="208"/>
      <c r="F53" s="208"/>
      <c r="G53" s="208"/>
    </row>
    <row r="54" spans="1:7" ht="15" x14ac:dyDescent="0.3">
      <c r="A54" s="1"/>
      <c r="B54" s="9"/>
      <c r="C54" s="9"/>
      <c r="D54" s="9"/>
      <c r="E54" s="9"/>
      <c r="F54" s="10"/>
      <c r="G54" s="11"/>
    </row>
    <row r="55" spans="1:7" x14ac:dyDescent="0.2">
      <c r="A55" s="12" t="s">
        <v>2</v>
      </c>
      <c r="B55" s="12" t="s">
        <v>3</v>
      </c>
      <c r="C55" s="13" t="s">
        <v>4</v>
      </c>
      <c r="D55" s="14" t="s">
        <v>5</v>
      </c>
      <c r="E55" s="13" t="s">
        <v>6</v>
      </c>
      <c r="F55" s="13" t="s">
        <v>7</v>
      </c>
      <c r="G55" s="13" t="s">
        <v>32</v>
      </c>
    </row>
    <row r="56" spans="1:7" ht="15" x14ac:dyDescent="0.3">
      <c r="A56" s="15">
        <v>1</v>
      </c>
      <c r="B56" s="16"/>
      <c r="C56" s="33"/>
      <c r="D56" s="18"/>
      <c r="E56" s="19"/>
      <c r="F56" s="19"/>
      <c r="G56" s="21"/>
    </row>
    <row r="57" spans="1:7" ht="21" customHeight="1" x14ac:dyDescent="0.2">
      <c r="A57" s="22"/>
      <c r="B57" s="22"/>
      <c r="C57" s="23"/>
      <c r="D57" s="24"/>
      <c r="E57" s="25"/>
      <c r="F57" s="26" t="s">
        <v>24</v>
      </c>
      <c r="G57" s="36">
        <f>SUM(G56:G56)</f>
        <v>0</v>
      </c>
    </row>
    <row r="64" spans="1:7" ht="15" customHeight="1" x14ac:dyDescent="0.3">
      <c r="A64" s="29"/>
      <c r="B64" s="30"/>
      <c r="C64" s="37"/>
      <c r="D64" s="30"/>
      <c r="E64" s="5"/>
      <c r="F64" s="207" t="s">
        <v>0</v>
      </c>
      <c r="G64" s="207"/>
    </row>
    <row r="65" spans="1:8" ht="18.75" x14ac:dyDescent="0.3">
      <c r="A65" s="31" t="s">
        <v>1</v>
      </c>
      <c r="B65" s="29"/>
      <c r="C65" s="37"/>
      <c r="D65" s="30"/>
      <c r="E65" s="5"/>
      <c r="F65" s="29"/>
      <c r="G65" s="29"/>
    </row>
    <row r="66" spans="1:8" ht="15" x14ac:dyDescent="0.3">
      <c r="A66" s="29"/>
      <c r="B66" s="30"/>
      <c r="C66" s="37"/>
      <c r="D66" s="30"/>
      <c r="E66" s="5"/>
      <c r="F66" s="5"/>
      <c r="G66" s="32"/>
    </row>
    <row r="67" spans="1:8" ht="18" x14ac:dyDescent="0.25">
      <c r="A67" s="208" t="s">
        <v>1392</v>
      </c>
      <c r="B67" s="208"/>
      <c r="C67" s="208"/>
      <c r="D67" s="208"/>
      <c r="E67" s="208"/>
      <c r="F67" s="208"/>
      <c r="G67" s="208"/>
    </row>
    <row r="68" spans="1:8" ht="15" x14ac:dyDescent="0.3">
      <c r="A68" s="29"/>
      <c r="B68" s="9"/>
      <c r="C68" s="9"/>
      <c r="D68" s="9"/>
      <c r="E68" s="9"/>
      <c r="F68" s="10"/>
      <c r="G68" s="11"/>
    </row>
    <row r="69" spans="1:8" x14ac:dyDescent="0.2">
      <c r="A69" s="12" t="s">
        <v>2</v>
      </c>
      <c r="B69" s="12" t="s">
        <v>3</v>
      </c>
      <c r="C69" s="13" t="s">
        <v>4</v>
      </c>
      <c r="D69" s="14" t="s">
        <v>25</v>
      </c>
      <c r="E69" s="13" t="s">
        <v>6</v>
      </c>
      <c r="F69" s="13" t="s">
        <v>7</v>
      </c>
      <c r="G69" s="13" t="s">
        <v>32</v>
      </c>
    </row>
    <row r="70" spans="1:8" ht="15" x14ac:dyDescent="0.3">
      <c r="A70" s="15">
        <v>1</v>
      </c>
      <c r="B70" s="16">
        <v>40853</v>
      </c>
      <c r="C70" s="33" t="s">
        <v>1421</v>
      </c>
      <c r="D70" s="18" t="s">
        <v>1422</v>
      </c>
      <c r="E70" s="19" t="s">
        <v>1423</v>
      </c>
      <c r="F70" s="19" t="s">
        <v>96</v>
      </c>
      <c r="G70" s="21">
        <v>185570.43</v>
      </c>
      <c r="H70" t="s">
        <v>27</v>
      </c>
    </row>
    <row r="71" spans="1:8" ht="15" x14ac:dyDescent="0.3">
      <c r="A71" s="29"/>
      <c r="B71" s="30"/>
      <c r="C71" s="37"/>
      <c r="D71" s="30"/>
      <c r="E71" s="5"/>
      <c r="F71" s="46" t="s">
        <v>24</v>
      </c>
      <c r="G71" s="36">
        <f>+G70</f>
        <v>185570.43</v>
      </c>
    </row>
  </sheetData>
  <sheetProtection selectLockedCells="1" selectUnlockedCells="1"/>
  <mergeCells count="9">
    <mergeCell ref="A53:G53"/>
    <mergeCell ref="F64:G64"/>
    <mergeCell ref="A67:G67"/>
    <mergeCell ref="F1:G1"/>
    <mergeCell ref="A5:G5"/>
    <mergeCell ref="F25:G25"/>
    <mergeCell ref="A29:G29"/>
    <mergeCell ref="A45:G47"/>
    <mergeCell ref="F49:G49"/>
  </mergeCells>
  <printOptions horizontalCentered="1"/>
  <pageMargins left="0" right="0" top="0.74791666666666667" bottom="0.74791666666666667" header="0.51180555555555551" footer="0.51180555555555551"/>
  <pageSetup paperSize="9" scale="57" firstPageNumber="0"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/>
  <dimension ref="A1:I59"/>
  <sheetViews>
    <sheetView topLeftCell="A46" workbookViewId="0">
      <selection activeCell="G28" sqref="G28"/>
    </sheetView>
  </sheetViews>
  <sheetFormatPr baseColWidth="10" defaultColWidth="10.7109375" defaultRowHeight="12.75" x14ac:dyDescent="0.2"/>
  <cols>
    <col min="1" max="1" width="3.85546875" customWidth="1"/>
    <col min="2" max="2" width="13.85546875" customWidth="1"/>
    <col min="3" max="3" width="16.28515625" customWidth="1"/>
    <col min="4" max="4" width="14.42578125" style="97" customWidth="1"/>
    <col min="5" max="5" width="29.5703125" customWidth="1"/>
    <col min="6" max="6" width="35" customWidth="1"/>
    <col min="7" max="7" width="13.28515625" customWidth="1"/>
  </cols>
  <sheetData>
    <row r="1" spans="1:7" ht="15" customHeight="1" x14ac:dyDescent="0.3">
      <c r="A1" s="1"/>
      <c r="B1" s="2"/>
      <c r="C1" s="3"/>
      <c r="D1" s="98"/>
      <c r="E1" s="5"/>
      <c r="F1" s="207" t="s">
        <v>0</v>
      </c>
      <c r="G1" s="207"/>
    </row>
    <row r="2" spans="1:7" ht="18.75" x14ac:dyDescent="0.3">
      <c r="A2" s="7" t="s">
        <v>1</v>
      </c>
      <c r="B2" s="7"/>
      <c r="C2" s="3"/>
      <c r="D2" s="98"/>
      <c r="E2" s="5"/>
      <c r="F2" s="5"/>
      <c r="G2" s="8"/>
    </row>
    <row r="3" spans="1:7" ht="15" x14ac:dyDescent="0.3">
      <c r="A3" s="1"/>
      <c r="B3" s="2"/>
      <c r="C3" s="3"/>
      <c r="D3" s="98"/>
      <c r="E3" s="5"/>
      <c r="F3" s="5"/>
      <c r="G3" s="8"/>
    </row>
    <row r="4" spans="1:7" ht="15" x14ac:dyDescent="0.3">
      <c r="A4" s="1"/>
      <c r="B4" s="2"/>
      <c r="C4" s="3"/>
      <c r="D4" s="98"/>
      <c r="E4" s="5"/>
      <c r="F4" s="5"/>
      <c r="G4" s="8"/>
    </row>
    <row r="5" spans="1:7" ht="18" x14ac:dyDescent="0.25">
      <c r="A5" s="208" t="s">
        <v>1424</v>
      </c>
      <c r="B5" s="208"/>
      <c r="C5" s="208"/>
      <c r="D5" s="208"/>
      <c r="E5" s="208"/>
      <c r="F5" s="208"/>
      <c r="G5" s="208"/>
    </row>
    <row r="6" spans="1:7" ht="15" x14ac:dyDescent="0.3">
      <c r="A6" s="1"/>
      <c r="B6" s="9"/>
      <c r="C6" s="9"/>
      <c r="D6" s="99"/>
      <c r="E6" s="9"/>
      <c r="F6" s="10"/>
      <c r="G6" s="11"/>
    </row>
    <row r="7" spans="1:7" x14ac:dyDescent="0.2">
      <c r="A7" s="12" t="s">
        <v>2</v>
      </c>
      <c r="B7" s="12" t="s">
        <v>3</v>
      </c>
      <c r="C7" s="13" t="s">
        <v>4</v>
      </c>
      <c r="D7" s="100" t="s">
        <v>5</v>
      </c>
      <c r="E7" s="13" t="s">
        <v>6</v>
      </c>
      <c r="F7" s="13" t="s">
        <v>7</v>
      </c>
      <c r="G7" s="13" t="s">
        <v>8</v>
      </c>
    </row>
    <row r="8" spans="1:7" ht="15" x14ac:dyDescent="0.3">
      <c r="A8" s="52">
        <v>1</v>
      </c>
      <c r="B8" s="53">
        <v>40827</v>
      </c>
      <c r="C8" s="17" t="s">
        <v>1425</v>
      </c>
      <c r="D8" s="101">
        <f>+B8+30</f>
        <v>40857</v>
      </c>
      <c r="E8" s="19" t="s">
        <v>523</v>
      </c>
      <c r="F8" s="20" t="s">
        <v>1426</v>
      </c>
      <c r="G8" s="21">
        <f>474.62+9.49</f>
        <v>484.11</v>
      </c>
    </row>
    <row r="9" spans="1:7" ht="30" x14ac:dyDescent="0.3">
      <c r="A9" s="52">
        <v>2</v>
      </c>
      <c r="B9" s="53">
        <v>40815</v>
      </c>
      <c r="C9" s="17" t="s">
        <v>1427</v>
      </c>
      <c r="D9" s="101">
        <f>+B9+30</f>
        <v>40845</v>
      </c>
      <c r="E9" s="19" t="s">
        <v>1428</v>
      </c>
      <c r="F9" s="20" t="s">
        <v>1429</v>
      </c>
      <c r="G9" s="21">
        <v>2107.5700000000002</v>
      </c>
    </row>
    <row r="10" spans="1:7" ht="15" x14ac:dyDescent="0.2">
      <c r="A10" s="22"/>
      <c r="B10" s="22"/>
      <c r="C10" s="23"/>
      <c r="D10" s="102"/>
      <c r="E10" s="25"/>
      <c r="F10" s="26" t="s">
        <v>24</v>
      </c>
      <c r="G10" s="27">
        <f>SUM(G8:G9)</f>
        <v>2591.6800000000003</v>
      </c>
    </row>
    <row r="16" spans="1:7" ht="15" customHeight="1" x14ac:dyDescent="0.3">
      <c r="A16" s="29"/>
      <c r="B16" s="30"/>
      <c r="C16" s="37"/>
      <c r="D16" s="30"/>
      <c r="E16" s="5"/>
      <c r="F16" s="207" t="s">
        <v>0</v>
      </c>
      <c r="G16" s="207"/>
    </row>
    <row r="17" spans="1:7" ht="18.75" x14ac:dyDescent="0.3">
      <c r="A17" s="31" t="s">
        <v>1</v>
      </c>
      <c r="B17" s="29"/>
      <c r="C17" s="37"/>
      <c r="D17" s="30"/>
      <c r="E17" s="5"/>
      <c r="F17" s="29"/>
      <c r="G17" s="29"/>
    </row>
    <row r="18" spans="1:7" ht="15" x14ac:dyDescent="0.3">
      <c r="A18" s="29"/>
      <c r="B18" s="30"/>
      <c r="C18" s="37"/>
      <c r="D18" s="30"/>
      <c r="E18" s="5"/>
      <c r="F18" s="5"/>
      <c r="G18" s="32"/>
    </row>
    <row r="19" spans="1:7" ht="15" x14ac:dyDescent="0.3">
      <c r="A19" s="29"/>
      <c r="B19" s="30"/>
      <c r="C19" s="37"/>
      <c r="D19" s="30"/>
      <c r="E19" s="5"/>
      <c r="F19" s="5"/>
      <c r="G19" s="32"/>
    </row>
    <row r="20" spans="1:7" ht="18" x14ac:dyDescent="0.25">
      <c r="A20" s="208" t="s">
        <v>1430</v>
      </c>
      <c r="B20" s="208"/>
      <c r="C20" s="208"/>
      <c r="D20" s="208"/>
      <c r="E20" s="208"/>
      <c r="F20" s="208"/>
      <c r="G20" s="208"/>
    </row>
    <row r="21" spans="1:7" ht="15" x14ac:dyDescent="0.3">
      <c r="A21" s="29"/>
      <c r="B21" s="9"/>
      <c r="C21" s="9"/>
      <c r="D21" s="9"/>
      <c r="E21" s="9"/>
      <c r="F21" s="10"/>
      <c r="G21" s="11"/>
    </row>
    <row r="22" spans="1:7" x14ac:dyDescent="0.2">
      <c r="A22" s="12" t="s">
        <v>2</v>
      </c>
      <c r="B22" s="12" t="s">
        <v>3</v>
      </c>
      <c r="C22" s="13" t="s">
        <v>4</v>
      </c>
      <c r="D22" s="14" t="s">
        <v>25</v>
      </c>
      <c r="E22" s="13" t="s">
        <v>6</v>
      </c>
      <c r="F22" s="13" t="s">
        <v>7</v>
      </c>
      <c r="G22" s="13" t="s">
        <v>8</v>
      </c>
    </row>
    <row r="23" spans="1:7" ht="30" x14ac:dyDescent="0.3">
      <c r="A23" s="52">
        <v>1</v>
      </c>
      <c r="B23" s="53">
        <v>40846</v>
      </c>
      <c r="C23" s="17" t="s">
        <v>29</v>
      </c>
      <c r="D23" s="96" t="s">
        <v>1431</v>
      </c>
      <c r="E23" s="19" t="s">
        <v>208</v>
      </c>
      <c r="F23" s="20" t="s">
        <v>1432</v>
      </c>
      <c r="G23" s="21">
        <v>11417.81</v>
      </c>
    </row>
    <row r="24" spans="1:7" ht="15" x14ac:dyDescent="0.3">
      <c r="A24" s="29"/>
      <c r="B24" s="30"/>
      <c r="C24" s="37"/>
      <c r="D24" s="30"/>
      <c r="E24" s="5"/>
      <c r="F24" s="26" t="s">
        <v>24</v>
      </c>
      <c r="G24" s="27">
        <f>SUM(G23:G23)</f>
        <v>11417.81</v>
      </c>
    </row>
    <row r="31" spans="1:7" ht="15" customHeight="1" x14ac:dyDescent="0.3">
      <c r="A31" s="29"/>
      <c r="B31" s="30"/>
      <c r="C31" s="37"/>
      <c r="D31" s="30"/>
      <c r="E31" s="5"/>
      <c r="F31" s="207" t="s">
        <v>0</v>
      </c>
      <c r="G31" s="207"/>
    </row>
    <row r="32" spans="1:7" ht="18.75" x14ac:dyDescent="0.3">
      <c r="A32" s="31" t="s">
        <v>1</v>
      </c>
      <c r="B32" s="29"/>
      <c r="C32" s="37"/>
      <c r="D32" s="30"/>
      <c r="E32" s="5"/>
      <c r="F32" s="29"/>
      <c r="G32" s="29"/>
    </row>
    <row r="33" spans="1:9" ht="15" x14ac:dyDescent="0.3">
      <c r="A33" s="29"/>
      <c r="B33" s="30"/>
      <c r="C33" s="37"/>
      <c r="D33" s="30"/>
      <c r="E33" s="5"/>
      <c r="F33" s="5"/>
      <c r="G33" s="32"/>
    </row>
    <row r="34" spans="1:9" ht="15" x14ac:dyDescent="0.3">
      <c r="A34" s="29"/>
      <c r="B34" s="30"/>
      <c r="C34" s="37"/>
      <c r="D34" s="30"/>
      <c r="E34" s="5"/>
      <c r="F34" s="5"/>
      <c r="G34" s="32"/>
    </row>
    <row r="35" spans="1:9" ht="18" x14ac:dyDescent="0.25">
      <c r="A35" s="208" t="s">
        <v>1433</v>
      </c>
      <c r="B35" s="208"/>
      <c r="C35" s="208"/>
      <c r="D35" s="208"/>
      <c r="E35" s="208"/>
      <c r="F35" s="208"/>
      <c r="G35" s="208"/>
    </row>
    <row r="36" spans="1:9" ht="15" x14ac:dyDescent="0.3">
      <c r="A36" s="29"/>
      <c r="B36" s="9"/>
      <c r="C36" s="9"/>
      <c r="D36" s="9"/>
      <c r="E36" s="9"/>
      <c r="F36" s="10"/>
      <c r="G36" s="11"/>
    </row>
    <row r="37" spans="1:9" x14ac:dyDescent="0.2">
      <c r="A37" s="12" t="s">
        <v>2</v>
      </c>
      <c r="B37" s="12" t="s">
        <v>3</v>
      </c>
      <c r="C37" s="13" t="s">
        <v>4</v>
      </c>
      <c r="D37" s="14" t="s">
        <v>5</v>
      </c>
      <c r="E37" s="13" t="s">
        <v>6</v>
      </c>
      <c r="F37" s="13" t="s">
        <v>7</v>
      </c>
      <c r="G37" s="13" t="s">
        <v>8</v>
      </c>
    </row>
    <row r="38" spans="1:9" ht="15" x14ac:dyDescent="0.3">
      <c r="A38" s="52">
        <v>1</v>
      </c>
      <c r="B38" s="53">
        <v>40817</v>
      </c>
      <c r="C38" s="17" t="s">
        <v>1434</v>
      </c>
      <c r="D38" s="96">
        <v>40852</v>
      </c>
      <c r="E38" s="19" t="s">
        <v>1435</v>
      </c>
      <c r="F38" s="20" t="s">
        <v>450</v>
      </c>
      <c r="G38" s="21">
        <v>5854.39</v>
      </c>
      <c r="H38" t="s">
        <v>1436</v>
      </c>
      <c r="I38" t="s">
        <v>27</v>
      </c>
    </row>
    <row r="39" spans="1:9" ht="15" x14ac:dyDescent="0.3">
      <c r="A39" s="52">
        <v>2</v>
      </c>
      <c r="B39" s="53">
        <v>40798</v>
      </c>
      <c r="C39" s="17" t="s">
        <v>1437</v>
      </c>
      <c r="D39" s="96">
        <v>40858</v>
      </c>
      <c r="E39" s="19" t="s">
        <v>669</v>
      </c>
      <c r="F39" s="20" t="s">
        <v>1438</v>
      </c>
      <c r="G39" s="21">
        <v>18931.09</v>
      </c>
      <c r="H39" s="45" t="s">
        <v>1439</v>
      </c>
      <c r="I39" t="s">
        <v>27</v>
      </c>
    </row>
    <row r="40" spans="1:9" ht="15" x14ac:dyDescent="0.3">
      <c r="A40" s="52">
        <v>3</v>
      </c>
      <c r="B40" s="53">
        <v>40834</v>
      </c>
      <c r="C40" s="17" t="s">
        <v>1440</v>
      </c>
      <c r="D40" s="96">
        <v>40864</v>
      </c>
      <c r="E40" s="19" t="s">
        <v>1441</v>
      </c>
      <c r="F40" s="20" t="s">
        <v>1442</v>
      </c>
      <c r="G40" s="21">
        <v>824.11</v>
      </c>
      <c r="H40" s="45" t="s">
        <v>1443</v>
      </c>
      <c r="I40" t="s">
        <v>27</v>
      </c>
    </row>
    <row r="41" spans="1:9" ht="15" x14ac:dyDescent="0.3">
      <c r="A41" s="52">
        <v>5</v>
      </c>
      <c r="B41" s="53">
        <v>40806</v>
      </c>
      <c r="C41" s="17" t="s">
        <v>1444</v>
      </c>
      <c r="D41" s="96">
        <v>40868</v>
      </c>
      <c r="E41" s="19" t="s">
        <v>669</v>
      </c>
      <c r="F41" s="20" t="s">
        <v>1442</v>
      </c>
      <c r="G41" s="21">
        <v>43443.360000000001</v>
      </c>
      <c r="H41" s="45" t="s">
        <v>1445</v>
      </c>
      <c r="I41" t="s">
        <v>27</v>
      </c>
    </row>
    <row r="42" spans="1:9" ht="15" x14ac:dyDescent="0.3">
      <c r="A42" s="52">
        <v>6</v>
      </c>
      <c r="B42" s="53">
        <v>40812</v>
      </c>
      <c r="C42" s="17" t="s">
        <v>1446</v>
      </c>
      <c r="D42" s="96">
        <v>40872</v>
      </c>
      <c r="E42" s="19" t="s">
        <v>669</v>
      </c>
      <c r="F42" s="20" t="s">
        <v>1438</v>
      </c>
      <c r="G42" s="21">
        <v>15833</v>
      </c>
      <c r="H42" s="45" t="s">
        <v>1447</v>
      </c>
      <c r="I42" t="s">
        <v>27</v>
      </c>
    </row>
    <row r="43" spans="1:9" ht="15" x14ac:dyDescent="0.3">
      <c r="A43" s="29"/>
      <c r="B43" s="30"/>
      <c r="C43" s="37"/>
      <c r="D43" s="30"/>
      <c r="E43" s="5"/>
      <c r="F43" s="46" t="s">
        <v>24</v>
      </c>
      <c r="G43" s="103">
        <f>SUM(G38:G42)</f>
        <v>84885.95</v>
      </c>
    </row>
    <row r="47" spans="1:9" x14ac:dyDescent="0.2">
      <c r="A47" s="211" t="s">
        <v>609</v>
      </c>
      <c r="B47" s="211"/>
      <c r="C47" s="211"/>
      <c r="D47" s="211"/>
      <c r="E47" s="211"/>
      <c r="F47" s="211"/>
      <c r="G47" s="211"/>
    </row>
    <row r="48" spans="1:9" x14ac:dyDescent="0.2">
      <c r="A48" s="211"/>
      <c r="B48" s="211"/>
      <c r="C48" s="211"/>
      <c r="D48" s="211"/>
      <c r="E48" s="211"/>
      <c r="F48" s="211"/>
      <c r="G48" s="211"/>
    </row>
    <row r="49" spans="1:9" x14ac:dyDescent="0.2">
      <c r="A49" s="211"/>
      <c r="B49" s="211"/>
      <c r="C49" s="211"/>
      <c r="D49" s="211"/>
      <c r="E49" s="211"/>
      <c r="F49" s="211"/>
      <c r="G49" s="211"/>
    </row>
    <row r="52" spans="1:9" ht="18.75" x14ac:dyDescent="0.3">
      <c r="A52" s="31" t="s">
        <v>1</v>
      </c>
      <c r="B52" s="29"/>
      <c r="C52" s="37"/>
      <c r="D52" s="30"/>
      <c r="E52" s="5"/>
      <c r="F52" s="29"/>
      <c r="G52" s="29"/>
    </row>
    <row r="53" spans="1:9" ht="15" x14ac:dyDescent="0.3">
      <c r="A53" s="29"/>
      <c r="B53" s="30"/>
      <c r="C53" s="37"/>
      <c r="D53" s="30"/>
      <c r="E53" s="5"/>
      <c r="F53" s="5"/>
      <c r="G53" s="32"/>
    </row>
    <row r="54" spans="1:9" ht="15" x14ac:dyDescent="0.3">
      <c r="A54" s="29"/>
      <c r="B54" s="30"/>
      <c r="C54" s="37"/>
      <c r="D54" s="30"/>
      <c r="E54" s="5"/>
      <c r="F54" s="5"/>
      <c r="G54" s="32"/>
    </row>
    <row r="55" spans="1:9" ht="18" x14ac:dyDescent="0.25">
      <c r="A55" s="208" t="s">
        <v>1433</v>
      </c>
      <c r="B55" s="208"/>
      <c r="C55" s="208"/>
      <c r="D55" s="208"/>
      <c r="E55" s="208"/>
      <c r="F55" s="208"/>
      <c r="G55" s="208"/>
    </row>
    <row r="56" spans="1:9" ht="15" x14ac:dyDescent="0.3">
      <c r="A56" s="29"/>
      <c r="B56" s="9"/>
      <c r="C56" s="9"/>
      <c r="D56" s="9"/>
      <c r="E56" s="9"/>
      <c r="F56" s="10"/>
      <c r="G56" s="11"/>
    </row>
    <row r="57" spans="1:9" x14ac:dyDescent="0.2">
      <c r="A57" s="12" t="s">
        <v>2</v>
      </c>
      <c r="B57" s="12" t="s">
        <v>3</v>
      </c>
      <c r="C57" s="13" t="s">
        <v>4</v>
      </c>
      <c r="D57" s="14" t="s">
        <v>5</v>
      </c>
      <c r="E57" s="13" t="s">
        <v>6</v>
      </c>
      <c r="F57" s="13" t="s">
        <v>7</v>
      </c>
      <c r="G57" s="13" t="s">
        <v>8</v>
      </c>
    </row>
    <row r="58" spans="1:9" ht="15" x14ac:dyDescent="0.3">
      <c r="A58" s="52">
        <v>4</v>
      </c>
      <c r="B58" s="53">
        <v>40807</v>
      </c>
      <c r="C58" s="17" t="s">
        <v>1448</v>
      </c>
      <c r="D58" s="96">
        <v>40867</v>
      </c>
      <c r="E58" s="19" t="s">
        <v>1449</v>
      </c>
      <c r="F58" s="20" t="s">
        <v>1442</v>
      </c>
      <c r="G58" s="21">
        <v>4171.7700000000004</v>
      </c>
      <c r="H58" s="45" t="s">
        <v>1450</v>
      </c>
      <c r="I58" t="s">
        <v>27</v>
      </c>
    </row>
    <row r="59" spans="1:9" ht="15" x14ac:dyDescent="0.3">
      <c r="A59" s="29"/>
      <c r="B59" s="30"/>
      <c r="C59" s="37"/>
      <c r="D59" s="30"/>
      <c r="E59" s="5"/>
      <c r="F59" s="46" t="s">
        <v>24</v>
      </c>
      <c r="G59" s="103">
        <f>SUM(G58:G58)</f>
        <v>4171.7700000000004</v>
      </c>
    </row>
  </sheetData>
  <sheetProtection selectLockedCells="1" selectUnlockedCells="1"/>
  <mergeCells count="8">
    <mergeCell ref="A47:G49"/>
    <mergeCell ref="A55:G55"/>
    <mergeCell ref="F1:G1"/>
    <mergeCell ref="A5:G5"/>
    <mergeCell ref="F16:G16"/>
    <mergeCell ref="A20:G20"/>
    <mergeCell ref="F31:G31"/>
    <mergeCell ref="A35:G35"/>
  </mergeCells>
  <printOptions horizontalCentered="1"/>
  <pageMargins left="0" right="0" top="0.74791666666666667" bottom="0.74791666666666667" header="0.51180555555555551" footer="0.51180555555555551"/>
  <pageSetup paperSize="9" scale="75" firstPageNumber="0"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/>
  <dimension ref="A1:G53"/>
  <sheetViews>
    <sheetView workbookViewId="0">
      <selection activeCell="G28" sqref="G28"/>
    </sheetView>
  </sheetViews>
  <sheetFormatPr baseColWidth="10" defaultColWidth="10.7109375" defaultRowHeight="12.75" x14ac:dyDescent="0.2"/>
  <cols>
    <col min="1" max="1" width="3.7109375" customWidth="1"/>
    <col min="2" max="2" width="14.28515625" customWidth="1"/>
    <col min="3" max="3" width="16" customWidth="1"/>
    <col min="4" max="4" width="16.7109375" customWidth="1"/>
    <col min="5" max="5" width="30.7109375" customWidth="1"/>
    <col min="6" max="6" width="35.5703125" customWidth="1"/>
    <col min="7" max="7" width="15.5703125" customWidth="1"/>
    <col min="10" max="10" width="3.140625" customWidth="1"/>
  </cols>
  <sheetData>
    <row r="1" spans="1:7" ht="15" customHeight="1" x14ac:dyDescent="0.3">
      <c r="A1" s="1"/>
      <c r="B1" s="2"/>
      <c r="C1" s="3"/>
      <c r="D1" s="4"/>
      <c r="E1" s="5"/>
      <c r="F1" s="207" t="s">
        <v>0</v>
      </c>
      <c r="G1" s="207"/>
    </row>
    <row r="2" spans="1:7" ht="18.75" x14ac:dyDescent="0.3">
      <c r="A2" s="7" t="s">
        <v>1</v>
      </c>
      <c r="B2" s="7"/>
      <c r="C2" s="3"/>
      <c r="D2" s="4"/>
      <c r="E2" s="5"/>
      <c r="F2" s="5"/>
      <c r="G2" s="8"/>
    </row>
    <row r="3" spans="1:7" ht="15" x14ac:dyDescent="0.3">
      <c r="A3" s="1"/>
      <c r="B3" s="2"/>
      <c r="C3" s="3"/>
      <c r="D3" s="4"/>
      <c r="E3" s="5"/>
      <c r="F3" s="5"/>
      <c r="G3" s="8"/>
    </row>
    <row r="4" spans="1:7" ht="15" x14ac:dyDescent="0.3">
      <c r="A4" s="1"/>
      <c r="B4" s="2"/>
      <c r="C4" s="3"/>
      <c r="D4" s="4"/>
      <c r="E4" s="5"/>
      <c r="F4" s="5"/>
      <c r="G4" s="8"/>
    </row>
    <row r="5" spans="1:7" ht="18" x14ac:dyDescent="0.25">
      <c r="A5" s="208" t="s">
        <v>1451</v>
      </c>
      <c r="B5" s="208"/>
      <c r="C5" s="208"/>
      <c r="D5" s="208"/>
      <c r="E5" s="208"/>
      <c r="F5" s="208"/>
      <c r="G5" s="208"/>
    </row>
    <row r="6" spans="1:7" ht="15" x14ac:dyDescent="0.3">
      <c r="A6" s="1"/>
      <c r="B6" s="9"/>
      <c r="C6" s="9"/>
      <c r="D6" s="9"/>
      <c r="E6" s="9"/>
      <c r="F6" s="10"/>
      <c r="G6" s="11"/>
    </row>
    <row r="7" spans="1:7" x14ac:dyDescent="0.2">
      <c r="A7" s="12" t="s">
        <v>2</v>
      </c>
      <c r="B7" s="12" t="s">
        <v>3</v>
      </c>
      <c r="C7" s="13" t="s">
        <v>4</v>
      </c>
      <c r="D7" s="14" t="s">
        <v>5</v>
      </c>
      <c r="E7" s="13" t="s">
        <v>6</v>
      </c>
      <c r="F7" s="13" t="s">
        <v>7</v>
      </c>
      <c r="G7" s="13" t="s">
        <v>32</v>
      </c>
    </row>
    <row r="8" spans="1:7" ht="30" x14ac:dyDescent="0.3">
      <c r="A8" s="15">
        <v>1</v>
      </c>
      <c r="B8" s="16">
        <v>40835</v>
      </c>
      <c r="C8" s="33" t="s">
        <v>1452</v>
      </c>
      <c r="D8" s="18">
        <f>+B8+30</f>
        <v>40865</v>
      </c>
      <c r="E8" s="19" t="s">
        <v>1453</v>
      </c>
      <c r="F8" s="19" t="s">
        <v>1454</v>
      </c>
      <c r="G8" s="21">
        <v>44.6</v>
      </c>
    </row>
    <row r="9" spans="1:7" ht="30" x14ac:dyDescent="0.3">
      <c r="A9" s="15">
        <v>2</v>
      </c>
      <c r="B9" s="16">
        <v>40837</v>
      </c>
      <c r="C9" s="33" t="s">
        <v>1455</v>
      </c>
      <c r="D9" s="18">
        <f>+B9+30</f>
        <v>40867</v>
      </c>
      <c r="E9" s="19" t="s">
        <v>1453</v>
      </c>
      <c r="F9" s="19" t="s">
        <v>1456</v>
      </c>
      <c r="G9" s="21">
        <v>254.05</v>
      </c>
    </row>
    <row r="10" spans="1:7" ht="30" x14ac:dyDescent="0.3">
      <c r="A10" s="15">
        <v>3</v>
      </c>
      <c r="B10" s="16">
        <v>40835</v>
      </c>
      <c r="C10" s="33" t="s">
        <v>1457</v>
      </c>
      <c r="D10" s="18">
        <f>+B10+30</f>
        <v>40865</v>
      </c>
      <c r="E10" s="19" t="s">
        <v>1458</v>
      </c>
      <c r="F10" s="19" t="s">
        <v>1459</v>
      </c>
      <c r="G10" s="21">
        <v>88.5</v>
      </c>
    </row>
    <row r="11" spans="1:7" ht="30" x14ac:dyDescent="0.3">
      <c r="A11" s="15">
        <v>4</v>
      </c>
      <c r="B11" s="16">
        <v>40835</v>
      </c>
      <c r="C11" s="33" t="s">
        <v>1460</v>
      </c>
      <c r="D11" s="18">
        <f>+B11+30</f>
        <v>40865</v>
      </c>
      <c r="E11" s="19" t="s">
        <v>1458</v>
      </c>
      <c r="F11" s="19" t="s">
        <v>1459</v>
      </c>
      <c r="G11" s="21">
        <v>715</v>
      </c>
    </row>
    <row r="12" spans="1:7" ht="15" x14ac:dyDescent="0.3">
      <c r="A12" s="15">
        <v>5</v>
      </c>
      <c r="B12" s="16">
        <v>40837</v>
      </c>
      <c r="C12" s="33" t="s">
        <v>1461</v>
      </c>
      <c r="D12" s="18">
        <f>+B12+30</f>
        <v>40867</v>
      </c>
      <c r="E12" s="19" t="s">
        <v>1462</v>
      </c>
      <c r="F12" s="19" t="s">
        <v>1463</v>
      </c>
      <c r="G12" s="21">
        <v>342.2</v>
      </c>
    </row>
    <row r="13" spans="1:7" ht="15" x14ac:dyDescent="0.3">
      <c r="A13" s="15">
        <v>6</v>
      </c>
      <c r="B13" s="16">
        <v>40838</v>
      </c>
      <c r="C13" s="33" t="s">
        <v>1464</v>
      </c>
      <c r="D13" s="18">
        <f>+B13+15</f>
        <v>40853</v>
      </c>
      <c r="E13" s="19" t="s">
        <v>1389</v>
      </c>
      <c r="F13" s="19" t="s">
        <v>1465</v>
      </c>
      <c r="G13" s="21">
        <v>47</v>
      </c>
    </row>
    <row r="14" spans="1:7" ht="30" x14ac:dyDescent="0.3">
      <c r="A14" s="15">
        <v>7</v>
      </c>
      <c r="B14" s="16">
        <v>40827</v>
      </c>
      <c r="C14" s="33" t="s">
        <v>1466</v>
      </c>
      <c r="D14" s="18">
        <f>+B14+15</f>
        <v>40842</v>
      </c>
      <c r="E14" s="19" t="s">
        <v>1467</v>
      </c>
      <c r="F14" s="19" t="s">
        <v>303</v>
      </c>
      <c r="G14" s="21">
        <f>4200.8-504</f>
        <v>3696.8</v>
      </c>
    </row>
    <row r="15" spans="1:7" ht="30" x14ac:dyDescent="0.3">
      <c r="A15" s="15">
        <v>8</v>
      </c>
      <c r="B15" s="16">
        <v>40844</v>
      </c>
      <c r="C15" s="33" t="s">
        <v>1468</v>
      </c>
      <c r="D15" s="18">
        <f>+B15+15</f>
        <v>40859</v>
      </c>
      <c r="E15" s="19" t="s">
        <v>1469</v>
      </c>
      <c r="F15" s="19" t="s">
        <v>71</v>
      </c>
      <c r="G15" s="21">
        <v>4537.5</v>
      </c>
    </row>
    <row r="16" spans="1:7" ht="15" x14ac:dyDescent="0.3">
      <c r="A16" s="15">
        <v>9</v>
      </c>
      <c r="B16" s="16">
        <v>40841</v>
      </c>
      <c r="C16" s="33" t="s">
        <v>1470</v>
      </c>
      <c r="D16" s="18">
        <f>+B16+15</f>
        <v>40856</v>
      </c>
      <c r="E16" s="19" t="s">
        <v>1471</v>
      </c>
      <c r="F16" s="19" t="s">
        <v>303</v>
      </c>
      <c r="G16" s="21">
        <f>708-85</f>
        <v>623</v>
      </c>
    </row>
    <row r="17" spans="1:7" ht="15" x14ac:dyDescent="0.3">
      <c r="A17" s="15">
        <v>10</v>
      </c>
      <c r="B17" s="16">
        <v>40823</v>
      </c>
      <c r="C17" s="33" t="s">
        <v>1472</v>
      </c>
      <c r="D17" s="18">
        <f>+B17</f>
        <v>40823</v>
      </c>
      <c r="E17" s="19" t="s">
        <v>808</v>
      </c>
      <c r="F17" s="19" t="s">
        <v>1377</v>
      </c>
      <c r="G17" s="21">
        <v>-12.78</v>
      </c>
    </row>
    <row r="18" spans="1:7" ht="15" x14ac:dyDescent="0.3">
      <c r="A18" s="15">
        <v>11</v>
      </c>
      <c r="B18" s="16">
        <v>40814</v>
      </c>
      <c r="C18" s="33" t="s">
        <v>1473</v>
      </c>
      <c r="D18" s="18">
        <f>+B18+15</f>
        <v>40829</v>
      </c>
      <c r="E18" s="19" t="s">
        <v>808</v>
      </c>
      <c r="F18" s="19" t="s">
        <v>1474</v>
      </c>
      <c r="G18" s="21">
        <f>411.9+8.24</f>
        <v>420.14</v>
      </c>
    </row>
    <row r="19" spans="1:7" ht="30" x14ac:dyDescent="0.3">
      <c r="A19" s="15">
        <v>12</v>
      </c>
      <c r="B19" s="16">
        <v>40826</v>
      </c>
      <c r="C19" s="33" t="s">
        <v>1475</v>
      </c>
      <c r="D19" s="18">
        <f>+B19+15</f>
        <v>40841</v>
      </c>
      <c r="E19" s="19" t="s">
        <v>281</v>
      </c>
      <c r="F19" s="19" t="s">
        <v>1476</v>
      </c>
      <c r="G19" s="21">
        <v>4759.0200000000004</v>
      </c>
    </row>
    <row r="20" spans="1:7" ht="15" x14ac:dyDescent="0.2">
      <c r="A20" s="22"/>
      <c r="B20" s="22"/>
      <c r="C20" s="23"/>
      <c r="D20" s="24"/>
      <c r="E20" s="25"/>
      <c r="F20" s="26" t="s">
        <v>24</v>
      </c>
      <c r="G20" s="36">
        <f>SUM(G8:G19)</f>
        <v>15515.03</v>
      </c>
    </row>
    <row r="22" spans="1:7" ht="15" customHeight="1" x14ac:dyDescent="0.3">
      <c r="A22" s="29"/>
      <c r="B22" s="30"/>
      <c r="C22" s="37"/>
      <c r="D22" s="30"/>
      <c r="E22" s="5"/>
      <c r="F22" s="207" t="s">
        <v>0</v>
      </c>
      <c r="G22" s="207"/>
    </row>
    <row r="23" spans="1:7" ht="15" x14ac:dyDescent="0.3">
      <c r="A23" s="29"/>
      <c r="B23" s="30"/>
      <c r="C23" s="37"/>
      <c r="D23" s="30"/>
      <c r="E23" s="5"/>
      <c r="F23" s="6"/>
      <c r="G23" s="6"/>
    </row>
    <row r="24" spans="1:7" ht="15" x14ac:dyDescent="0.3">
      <c r="A24" s="29"/>
      <c r="B24" s="30"/>
      <c r="C24" s="37"/>
      <c r="D24" s="30"/>
      <c r="E24" s="5"/>
      <c r="F24" s="6"/>
      <c r="G24" s="6"/>
    </row>
    <row r="25" spans="1:7" ht="18.75" x14ac:dyDescent="0.3">
      <c r="A25" s="31" t="s">
        <v>1</v>
      </c>
      <c r="B25" s="29"/>
      <c r="C25" s="37"/>
      <c r="D25" s="30"/>
      <c r="E25" s="5"/>
      <c r="F25" s="29"/>
      <c r="G25" s="29"/>
    </row>
    <row r="26" spans="1:7" ht="15" x14ac:dyDescent="0.3">
      <c r="A26" s="29"/>
      <c r="B26" s="30"/>
      <c r="C26" s="37"/>
      <c r="D26" s="30"/>
      <c r="E26" s="5"/>
      <c r="F26" s="5"/>
      <c r="G26" s="32"/>
    </row>
    <row r="27" spans="1:7" ht="12.75" customHeight="1" x14ac:dyDescent="0.3">
      <c r="A27" s="29"/>
      <c r="B27" s="30"/>
      <c r="C27" s="37"/>
      <c r="D27" s="30"/>
      <c r="E27" s="5"/>
      <c r="F27" s="5"/>
      <c r="G27" s="32"/>
    </row>
    <row r="28" spans="1:7" ht="19.5" customHeight="1" x14ac:dyDescent="0.25">
      <c r="A28" s="208" t="s">
        <v>1477</v>
      </c>
      <c r="B28" s="208"/>
      <c r="C28" s="208"/>
      <c r="D28" s="208"/>
      <c r="E28" s="208"/>
      <c r="F28" s="208"/>
      <c r="G28" s="208"/>
    </row>
    <row r="29" spans="1:7" ht="12.75" customHeight="1" x14ac:dyDescent="0.3">
      <c r="A29" s="29"/>
      <c r="B29" s="9"/>
      <c r="C29" s="9"/>
      <c r="D29" s="9"/>
      <c r="E29" s="9"/>
      <c r="F29" s="10"/>
      <c r="G29" s="11"/>
    </row>
    <row r="30" spans="1:7" x14ac:dyDescent="0.2">
      <c r="A30" s="12" t="s">
        <v>2</v>
      </c>
      <c r="B30" s="12" t="s">
        <v>3</v>
      </c>
      <c r="C30" s="13" t="s">
        <v>4</v>
      </c>
      <c r="D30" s="14" t="s">
        <v>25</v>
      </c>
      <c r="E30" s="13" t="s">
        <v>6</v>
      </c>
      <c r="F30" s="13" t="s">
        <v>7</v>
      </c>
      <c r="G30" s="13" t="s">
        <v>32</v>
      </c>
    </row>
    <row r="31" spans="1:7" ht="30" x14ac:dyDescent="0.3">
      <c r="A31" s="15">
        <v>1</v>
      </c>
      <c r="B31" s="16">
        <v>40841</v>
      </c>
      <c r="C31" s="33" t="s">
        <v>1478</v>
      </c>
      <c r="D31" s="18" t="s">
        <v>1479</v>
      </c>
      <c r="E31" s="19" t="s">
        <v>1288</v>
      </c>
      <c r="F31" s="19" t="s">
        <v>96</v>
      </c>
      <c r="G31" s="21">
        <f>318.6-18</f>
        <v>300.60000000000002</v>
      </c>
    </row>
    <row r="32" spans="1:7" ht="30" x14ac:dyDescent="0.3">
      <c r="A32" s="15">
        <v>2</v>
      </c>
      <c r="B32" s="16">
        <v>40862</v>
      </c>
      <c r="C32" s="33" t="s">
        <v>29</v>
      </c>
      <c r="D32" s="18" t="s">
        <v>1480</v>
      </c>
      <c r="E32" s="19" t="s">
        <v>245</v>
      </c>
      <c r="F32" s="19" t="s">
        <v>1481</v>
      </c>
      <c r="G32" s="21">
        <v>2841</v>
      </c>
    </row>
    <row r="33" spans="1:7" ht="30" x14ac:dyDescent="0.3">
      <c r="A33" s="15">
        <v>3</v>
      </c>
      <c r="B33" s="16">
        <v>40862</v>
      </c>
      <c r="C33" s="33" t="s">
        <v>29</v>
      </c>
      <c r="D33" s="18" t="s">
        <v>1482</v>
      </c>
      <c r="E33" s="19" t="s">
        <v>245</v>
      </c>
      <c r="F33" s="19" t="s">
        <v>1481</v>
      </c>
      <c r="G33" s="21">
        <v>886</v>
      </c>
    </row>
    <row r="34" spans="1:7" ht="30" x14ac:dyDescent="0.3">
      <c r="A34" s="15">
        <v>4</v>
      </c>
      <c r="B34" s="16">
        <v>40862</v>
      </c>
      <c r="C34" s="33" t="s">
        <v>29</v>
      </c>
      <c r="D34" s="18" t="s">
        <v>1483</v>
      </c>
      <c r="E34" s="19" t="s">
        <v>1484</v>
      </c>
      <c r="F34" s="19" t="s">
        <v>1485</v>
      </c>
      <c r="G34" s="21">
        <v>3619</v>
      </c>
    </row>
    <row r="35" spans="1:7" ht="30" x14ac:dyDescent="0.3">
      <c r="A35" s="15">
        <v>5</v>
      </c>
      <c r="B35" s="16">
        <v>40862</v>
      </c>
      <c r="C35" s="33" t="s">
        <v>29</v>
      </c>
      <c r="D35" s="18" t="s">
        <v>1486</v>
      </c>
      <c r="E35" s="19" t="s">
        <v>1484</v>
      </c>
      <c r="F35" s="19" t="s">
        <v>1487</v>
      </c>
      <c r="G35" s="21">
        <v>3619</v>
      </c>
    </row>
    <row r="36" spans="1:7" ht="15" x14ac:dyDescent="0.3">
      <c r="A36" s="29"/>
      <c r="B36" s="30"/>
      <c r="C36" s="37"/>
      <c r="D36" s="30"/>
      <c r="E36" s="5"/>
      <c r="F36" s="46" t="s">
        <v>24</v>
      </c>
      <c r="G36" s="36">
        <f>SUM(G31:G35)</f>
        <v>11265.6</v>
      </c>
    </row>
    <row r="40" spans="1:7" x14ac:dyDescent="0.2">
      <c r="A40" s="211" t="s">
        <v>609</v>
      </c>
      <c r="B40" s="211"/>
      <c r="C40" s="211"/>
      <c r="D40" s="211"/>
      <c r="E40" s="211"/>
      <c r="F40" s="211"/>
      <c r="G40" s="211"/>
    </row>
    <row r="41" spans="1:7" x14ac:dyDescent="0.2">
      <c r="A41" s="211"/>
      <c r="B41" s="211"/>
      <c r="C41" s="211"/>
      <c r="D41" s="211"/>
      <c r="E41" s="211"/>
      <c r="F41" s="211"/>
      <c r="G41" s="211"/>
    </row>
    <row r="42" spans="1:7" x14ac:dyDescent="0.2">
      <c r="A42" s="211"/>
      <c r="B42" s="211"/>
      <c r="C42" s="211"/>
      <c r="D42" s="211"/>
      <c r="E42" s="211"/>
      <c r="F42" s="211"/>
      <c r="G42" s="211"/>
    </row>
    <row r="45" spans="1:7" ht="15" customHeight="1" x14ac:dyDescent="0.3">
      <c r="A45" s="29"/>
      <c r="B45" s="30"/>
      <c r="C45" s="37"/>
      <c r="D45" s="30"/>
      <c r="E45" s="5"/>
      <c r="F45" s="207" t="s">
        <v>0</v>
      </c>
      <c r="G45" s="207"/>
    </row>
    <row r="46" spans="1:7" ht="18.75" x14ac:dyDescent="0.3">
      <c r="A46" s="31" t="s">
        <v>1</v>
      </c>
      <c r="B46" s="29"/>
      <c r="C46" s="37"/>
      <c r="D46" s="30"/>
      <c r="E46" s="5"/>
      <c r="F46" s="29"/>
      <c r="G46" s="29"/>
    </row>
    <row r="47" spans="1:7" ht="15" x14ac:dyDescent="0.3">
      <c r="A47" s="29"/>
      <c r="B47" s="30"/>
      <c r="C47" s="37"/>
      <c r="D47" s="30"/>
      <c r="E47" s="5"/>
      <c r="F47" s="5"/>
      <c r="G47" s="32"/>
    </row>
    <row r="48" spans="1:7" ht="18" x14ac:dyDescent="0.25">
      <c r="A48" s="208" t="s">
        <v>1477</v>
      </c>
      <c r="B48" s="208"/>
      <c r="C48" s="208"/>
      <c r="D48" s="208"/>
      <c r="E48" s="208"/>
      <c r="F48" s="208"/>
      <c r="G48" s="208"/>
    </row>
    <row r="49" spans="1:7" ht="15" x14ac:dyDescent="0.3">
      <c r="A49" s="29"/>
      <c r="B49" s="9"/>
      <c r="C49" s="9"/>
      <c r="D49" s="9"/>
      <c r="E49" s="9"/>
      <c r="F49" s="10"/>
      <c r="G49" s="11"/>
    </row>
    <row r="50" spans="1:7" x14ac:dyDescent="0.2">
      <c r="A50" s="12" t="s">
        <v>2</v>
      </c>
      <c r="B50" s="12" t="s">
        <v>3</v>
      </c>
      <c r="C50" s="13" t="s">
        <v>4</v>
      </c>
      <c r="D50" s="14" t="s">
        <v>25</v>
      </c>
      <c r="E50" s="13" t="s">
        <v>6</v>
      </c>
      <c r="F50" s="13" t="s">
        <v>7</v>
      </c>
      <c r="G50" s="13" t="s">
        <v>32</v>
      </c>
    </row>
    <row r="51" spans="1:7" ht="30" x14ac:dyDescent="0.3">
      <c r="A51" s="15">
        <v>1</v>
      </c>
      <c r="B51" s="16">
        <v>40774</v>
      </c>
      <c r="C51" s="17" t="s">
        <v>1488</v>
      </c>
      <c r="D51" s="18" t="s">
        <v>1489</v>
      </c>
      <c r="E51" s="19" t="s">
        <v>1490</v>
      </c>
      <c r="F51" s="19" t="s">
        <v>1491</v>
      </c>
      <c r="G51" s="21">
        <f>77283.86+407100</f>
        <v>484383.86</v>
      </c>
    </row>
    <row r="52" spans="1:7" ht="30" x14ac:dyDescent="0.3">
      <c r="A52" s="15">
        <v>2</v>
      </c>
      <c r="B52" s="16">
        <v>40865</v>
      </c>
      <c r="C52" s="17" t="s">
        <v>1492</v>
      </c>
      <c r="D52" s="18" t="s">
        <v>1493</v>
      </c>
      <c r="E52" s="19" t="s">
        <v>1494</v>
      </c>
      <c r="F52" s="19" t="s">
        <v>1495</v>
      </c>
      <c r="G52" s="21">
        <v>259600</v>
      </c>
    </row>
    <row r="53" spans="1:7" ht="15" x14ac:dyDescent="0.3">
      <c r="A53" s="29"/>
      <c r="B53" s="30"/>
      <c r="C53" s="37"/>
      <c r="D53" s="30"/>
      <c r="E53" s="5"/>
      <c r="F53" s="46" t="s">
        <v>24</v>
      </c>
      <c r="G53" s="36">
        <f>+G51</f>
        <v>484383.86</v>
      </c>
    </row>
  </sheetData>
  <sheetProtection selectLockedCells="1" selectUnlockedCells="1"/>
  <mergeCells count="7">
    <mergeCell ref="A48:G48"/>
    <mergeCell ref="F1:G1"/>
    <mergeCell ref="A5:G5"/>
    <mergeCell ref="F22:G22"/>
    <mergeCell ref="A28:G28"/>
    <mergeCell ref="A40:G42"/>
    <mergeCell ref="F45:G45"/>
  </mergeCells>
  <printOptions horizontalCentered="1"/>
  <pageMargins left="0" right="0" top="0.74791666666666667" bottom="0.74791666666666667" header="0.51180555555555551" footer="0.51180555555555551"/>
  <pageSetup paperSize="9" scale="75" firstPageNumber="0"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/>
  <dimension ref="A1:H32"/>
  <sheetViews>
    <sheetView topLeftCell="A7" workbookViewId="0">
      <selection activeCell="G28" sqref="G28"/>
    </sheetView>
  </sheetViews>
  <sheetFormatPr baseColWidth="10" defaultColWidth="10.7109375" defaultRowHeight="12.75" x14ac:dyDescent="0.2"/>
  <cols>
    <col min="1" max="1" width="3.85546875" customWidth="1"/>
    <col min="2" max="2" width="13.85546875" customWidth="1"/>
    <col min="3" max="3" width="15.5703125" customWidth="1"/>
    <col min="4" max="4" width="14.42578125" customWidth="1"/>
    <col min="5" max="5" width="30.28515625" customWidth="1"/>
    <col min="6" max="6" width="33.85546875" customWidth="1"/>
    <col min="7" max="7" width="15.7109375" customWidth="1"/>
    <col min="8" max="8" width="4.28515625" customWidth="1"/>
  </cols>
  <sheetData>
    <row r="1" spans="1:7" ht="15" customHeight="1" x14ac:dyDescent="0.3">
      <c r="A1" s="1"/>
      <c r="B1" s="2"/>
      <c r="C1" s="3"/>
      <c r="D1" s="4"/>
      <c r="E1" s="5"/>
      <c r="F1" s="207" t="s">
        <v>0</v>
      </c>
      <c r="G1" s="207"/>
    </row>
    <row r="2" spans="1:7" ht="18.75" x14ac:dyDescent="0.3">
      <c r="A2" s="7" t="s">
        <v>1</v>
      </c>
      <c r="B2" s="7"/>
      <c r="C2" s="3"/>
      <c r="D2" s="4"/>
      <c r="E2" s="5"/>
      <c r="F2" s="5"/>
      <c r="G2" s="8"/>
    </row>
    <row r="3" spans="1:7" ht="15" x14ac:dyDescent="0.3">
      <c r="A3" s="1"/>
      <c r="B3" s="2"/>
      <c r="C3" s="3"/>
      <c r="D3" s="4"/>
      <c r="E3" s="5"/>
      <c r="F3" s="5"/>
      <c r="G3" s="8"/>
    </row>
    <row r="4" spans="1:7" ht="15" x14ac:dyDescent="0.3">
      <c r="A4" s="1"/>
      <c r="B4" s="2"/>
      <c r="C4" s="3"/>
      <c r="D4" s="4"/>
      <c r="E4" s="5"/>
      <c r="F4" s="5"/>
      <c r="G4" s="8"/>
    </row>
    <row r="5" spans="1:7" ht="18" x14ac:dyDescent="0.25">
      <c r="A5" s="208" t="s">
        <v>1496</v>
      </c>
      <c r="B5" s="208"/>
      <c r="C5" s="208"/>
      <c r="D5" s="208"/>
      <c r="E5" s="208"/>
      <c r="F5" s="208"/>
      <c r="G5" s="208"/>
    </row>
    <row r="6" spans="1:7" ht="15" x14ac:dyDescent="0.3">
      <c r="A6" s="1"/>
      <c r="B6" s="9"/>
      <c r="C6" s="9"/>
      <c r="D6" s="9"/>
      <c r="E6" s="9"/>
      <c r="F6" s="10"/>
      <c r="G6" s="11"/>
    </row>
    <row r="7" spans="1:7" x14ac:dyDescent="0.2">
      <c r="A7" s="12" t="s">
        <v>2</v>
      </c>
      <c r="B7" s="12" t="s">
        <v>3</v>
      </c>
      <c r="C7" s="13" t="s">
        <v>4</v>
      </c>
      <c r="D7" s="14" t="s">
        <v>5</v>
      </c>
      <c r="E7" s="13" t="s">
        <v>6</v>
      </c>
      <c r="F7" s="13" t="s">
        <v>7</v>
      </c>
      <c r="G7" s="13" t="s">
        <v>8</v>
      </c>
    </row>
    <row r="8" spans="1:7" ht="30" x14ac:dyDescent="0.3">
      <c r="A8" s="52">
        <v>1</v>
      </c>
      <c r="B8" s="53">
        <v>40830</v>
      </c>
      <c r="C8" s="17" t="s">
        <v>1497</v>
      </c>
      <c r="D8" s="96">
        <f>+B8+30</f>
        <v>40860</v>
      </c>
      <c r="E8" s="19" t="s">
        <v>1498</v>
      </c>
      <c r="F8" s="20" t="s">
        <v>1499</v>
      </c>
      <c r="G8" s="21">
        <v>300.66000000000003</v>
      </c>
    </row>
    <row r="9" spans="1:7" ht="15" x14ac:dyDescent="0.3">
      <c r="A9" s="52">
        <v>2</v>
      </c>
      <c r="B9" s="53">
        <v>40828</v>
      </c>
      <c r="C9" s="17" t="s">
        <v>1500</v>
      </c>
      <c r="D9" s="96">
        <f>+B9+30</f>
        <v>40858</v>
      </c>
      <c r="E9" s="19" t="s">
        <v>637</v>
      </c>
      <c r="F9" s="20" t="s">
        <v>1010</v>
      </c>
      <c r="G9" s="21">
        <v>2548.8000000000002</v>
      </c>
    </row>
    <row r="10" spans="1:7" ht="30" x14ac:dyDescent="0.3">
      <c r="A10" s="52">
        <v>3</v>
      </c>
      <c r="B10" s="53">
        <v>40819</v>
      </c>
      <c r="C10" s="17" t="s">
        <v>1501</v>
      </c>
      <c r="D10" s="96">
        <f>+B10</f>
        <v>40819</v>
      </c>
      <c r="E10" s="19" t="s">
        <v>1502</v>
      </c>
      <c r="F10" s="20" t="s">
        <v>1503</v>
      </c>
      <c r="G10" s="21">
        <f>1007.5-(1007.5*0.12)</f>
        <v>886.6</v>
      </c>
    </row>
    <row r="11" spans="1:7" ht="30" x14ac:dyDescent="0.3">
      <c r="A11" s="52">
        <v>4</v>
      </c>
      <c r="B11" s="53">
        <v>40819</v>
      </c>
      <c r="C11" s="17" t="s">
        <v>1504</v>
      </c>
      <c r="D11" s="96">
        <f>+B11</f>
        <v>40819</v>
      </c>
      <c r="E11" s="19" t="s">
        <v>1502</v>
      </c>
      <c r="F11" s="20" t="s">
        <v>1505</v>
      </c>
      <c r="G11" s="21">
        <f>425-(425*0.12)</f>
        <v>374</v>
      </c>
    </row>
    <row r="12" spans="1:7" ht="30" x14ac:dyDescent="0.3">
      <c r="A12" s="52">
        <v>5</v>
      </c>
      <c r="B12" s="53">
        <v>40865</v>
      </c>
      <c r="C12" s="17" t="s">
        <v>1506</v>
      </c>
      <c r="D12" s="96">
        <f>+B12</f>
        <v>40865</v>
      </c>
      <c r="E12" s="19" t="s">
        <v>1366</v>
      </c>
      <c r="F12" s="20" t="s">
        <v>1507</v>
      </c>
      <c r="G12" s="21">
        <v>36.46</v>
      </c>
    </row>
    <row r="13" spans="1:7" ht="30" x14ac:dyDescent="0.3">
      <c r="A13" s="52">
        <v>6</v>
      </c>
      <c r="B13" s="53">
        <v>40865</v>
      </c>
      <c r="C13" s="17" t="s">
        <v>1508</v>
      </c>
      <c r="D13" s="96">
        <f>+B13</f>
        <v>40865</v>
      </c>
      <c r="E13" s="19" t="s">
        <v>1366</v>
      </c>
      <c r="F13" s="20" t="s">
        <v>1509</v>
      </c>
      <c r="G13" s="21">
        <v>36.46</v>
      </c>
    </row>
    <row r="14" spans="1:7" ht="30" x14ac:dyDescent="0.3">
      <c r="A14" s="15">
        <v>7</v>
      </c>
      <c r="B14" s="16">
        <v>40842</v>
      </c>
      <c r="C14" s="33" t="s">
        <v>1510</v>
      </c>
      <c r="D14" s="18">
        <f>+B14+15</f>
        <v>40857</v>
      </c>
      <c r="E14" s="19" t="s">
        <v>281</v>
      </c>
      <c r="F14" s="19" t="s">
        <v>1511</v>
      </c>
      <c r="G14" s="21">
        <v>480.08</v>
      </c>
    </row>
    <row r="15" spans="1:7" ht="45" x14ac:dyDescent="0.3">
      <c r="A15" s="15">
        <v>8</v>
      </c>
      <c r="B15" s="16">
        <v>40826</v>
      </c>
      <c r="C15" s="33" t="s">
        <v>1475</v>
      </c>
      <c r="D15" s="18">
        <f>+B15+15</f>
        <v>40841</v>
      </c>
      <c r="E15" s="19" t="s">
        <v>281</v>
      </c>
      <c r="F15" s="19" t="s">
        <v>1476</v>
      </c>
      <c r="G15" s="21">
        <v>274.81</v>
      </c>
    </row>
    <row r="16" spans="1:7" ht="15" x14ac:dyDescent="0.2">
      <c r="A16" s="22"/>
      <c r="B16" s="22"/>
      <c r="C16" s="23"/>
      <c r="D16" s="24"/>
      <c r="E16" s="25"/>
      <c r="F16" s="26" t="s">
        <v>24</v>
      </c>
      <c r="G16" s="27">
        <f>SUM(G8:G15)</f>
        <v>4937.87</v>
      </c>
    </row>
    <row r="20" spans="1:8" x14ac:dyDescent="0.2">
      <c r="B20" s="35"/>
    </row>
    <row r="22" spans="1:8" ht="15" customHeight="1" x14ac:dyDescent="0.3">
      <c r="A22" s="29"/>
      <c r="B22" s="30"/>
      <c r="C22" s="37"/>
      <c r="D22" s="30"/>
      <c r="E22" s="5"/>
      <c r="F22" s="207" t="s">
        <v>0</v>
      </c>
      <c r="G22" s="207"/>
    </row>
    <row r="23" spans="1:8" ht="18.75" x14ac:dyDescent="0.3">
      <c r="A23" s="31" t="s">
        <v>1</v>
      </c>
      <c r="B23" s="29"/>
      <c r="C23" s="37"/>
      <c r="D23" s="30"/>
      <c r="E23" s="5"/>
      <c r="F23" s="29"/>
      <c r="G23" s="29"/>
    </row>
    <row r="24" spans="1:8" ht="15" x14ac:dyDescent="0.3">
      <c r="A24" s="29"/>
      <c r="B24" s="30"/>
      <c r="C24" s="37"/>
      <c r="D24" s="30"/>
      <c r="E24" s="5"/>
      <c r="F24" s="5"/>
      <c r="G24" s="32"/>
    </row>
    <row r="25" spans="1:8" ht="15" x14ac:dyDescent="0.3">
      <c r="A25" s="29"/>
      <c r="B25" s="30"/>
      <c r="C25" s="37"/>
      <c r="D25" s="30"/>
      <c r="E25" s="5"/>
      <c r="F25" s="5"/>
      <c r="G25" s="32"/>
    </row>
    <row r="26" spans="1:8" ht="18" x14ac:dyDescent="0.25">
      <c r="A26" s="208" t="s">
        <v>1512</v>
      </c>
      <c r="B26" s="208"/>
      <c r="C26" s="208"/>
      <c r="D26" s="208"/>
      <c r="E26" s="208"/>
      <c r="F26" s="208"/>
      <c r="G26" s="208"/>
    </row>
    <row r="27" spans="1:8" ht="15" x14ac:dyDescent="0.3">
      <c r="A27" s="29"/>
      <c r="B27" s="9"/>
      <c r="C27" s="9"/>
      <c r="D27" s="9"/>
      <c r="E27" s="9"/>
      <c r="F27" s="10"/>
      <c r="G27" s="11"/>
    </row>
    <row r="28" spans="1:8" x14ac:dyDescent="0.2">
      <c r="A28" s="12" t="s">
        <v>2</v>
      </c>
      <c r="B28" s="12" t="s">
        <v>3</v>
      </c>
      <c r="C28" s="13" t="s">
        <v>4</v>
      </c>
      <c r="D28" s="14" t="s">
        <v>25</v>
      </c>
      <c r="E28" s="13" t="s">
        <v>6</v>
      </c>
      <c r="F28" s="13" t="s">
        <v>7</v>
      </c>
      <c r="G28" s="13" t="s">
        <v>8</v>
      </c>
    </row>
    <row r="29" spans="1:8" ht="30" x14ac:dyDescent="0.3">
      <c r="A29" s="52">
        <v>1</v>
      </c>
      <c r="B29" s="53">
        <v>40833</v>
      </c>
      <c r="C29" s="17" t="s">
        <v>1513</v>
      </c>
      <c r="D29" s="18" t="s">
        <v>1514</v>
      </c>
      <c r="E29" s="19" t="s">
        <v>208</v>
      </c>
      <c r="F29" s="20" t="s">
        <v>1515</v>
      </c>
      <c r="G29" s="21">
        <v>519.20000000000005</v>
      </c>
      <c r="H29" t="s">
        <v>27</v>
      </c>
    </row>
    <row r="30" spans="1:8" ht="30" x14ac:dyDescent="0.3">
      <c r="A30" s="52">
        <v>2</v>
      </c>
      <c r="B30" s="16">
        <v>40834</v>
      </c>
      <c r="C30" s="33" t="s">
        <v>1516</v>
      </c>
      <c r="D30" s="18" t="s">
        <v>1517</v>
      </c>
      <c r="E30" s="19" t="s">
        <v>1518</v>
      </c>
      <c r="F30" s="19" t="s">
        <v>1519</v>
      </c>
      <c r="G30" s="21">
        <v>536.9</v>
      </c>
    </row>
    <row r="31" spans="1:8" ht="30" x14ac:dyDescent="0.3">
      <c r="A31" s="52">
        <v>3</v>
      </c>
      <c r="B31" s="16">
        <v>40834</v>
      </c>
      <c r="C31" s="33" t="s">
        <v>1520</v>
      </c>
      <c r="D31" s="18" t="s">
        <v>1521</v>
      </c>
      <c r="E31" s="19" t="s">
        <v>1518</v>
      </c>
      <c r="F31" s="19" t="s">
        <v>1522</v>
      </c>
      <c r="G31" s="21">
        <v>394.59</v>
      </c>
      <c r="H31" t="s">
        <v>27</v>
      </c>
    </row>
    <row r="32" spans="1:8" ht="15" x14ac:dyDescent="0.3">
      <c r="A32" s="29"/>
      <c r="B32" s="30"/>
      <c r="C32" s="37"/>
      <c r="D32" s="30"/>
      <c r="E32" s="5"/>
      <c r="F32" s="46" t="s">
        <v>24</v>
      </c>
      <c r="G32" s="103">
        <f>SUM(G29:G31)</f>
        <v>1450.6899999999998</v>
      </c>
    </row>
  </sheetData>
  <sheetProtection selectLockedCells="1" selectUnlockedCells="1"/>
  <mergeCells count="4">
    <mergeCell ref="F1:G1"/>
    <mergeCell ref="A5:G5"/>
    <mergeCell ref="F22:G22"/>
    <mergeCell ref="A26:G26"/>
  </mergeCells>
  <printOptions horizontalCentered="1"/>
  <pageMargins left="0" right="0" top="0.74791666666666667" bottom="0.74791666666666667" header="0.51180555555555551" footer="0.51180555555555551"/>
  <pageSetup paperSize="9" scale="80" firstPageNumber="0"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>
    <pageSetUpPr fitToPage="1"/>
  </sheetPr>
  <dimension ref="A1:I86"/>
  <sheetViews>
    <sheetView topLeftCell="A2" workbookViewId="0">
      <selection activeCell="G28" sqref="G28"/>
    </sheetView>
  </sheetViews>
  <sheetFormatPr baseColWidth="10" defaultColWidth="10.7109375" defaultRowHeight="12.75" x14ac:dyDescent="0.2"/>
  <cols>
    <col min="1" max="1" width="3.7109375" customWidth="1"/>
    <col min="2" max="2" width="14.28515625" customWidth="1"/>
    <col min="3" max="3" width="18.5703125" customWidth="1"/>
    <col min="4" max="4" width="14.42578125" customWidth="1"/>
    <col min="5" max="5" width="35.5703125" customWidth="1"/>
    <col min="6" max="6" width="36.28515625" customWidth="1"/>
    <col min="7" max="7" width="17.140625" customWidth="1"/>
    <col min="8" max="8" width="13.5703125" customWidth="1"/>
  </cols>
  <sheetData>
    <row r="1" spans="1:7" ht="15" customHeight="1" x14ac:dyDescent="0.3">
      <c r="A1" s="1"/>
      <c r="B1" s="2"/>
      <c r="C1" s="3"/>
      <c r="D1" s="4"/>
      <c r="E1" s="5"/>
      <c r="F1" s="207" t="s">
        <v>0</v>
      </c>
      <c r="G1" s="207"/>
    </row>
    <row r="2" spans="1:7" ht="18.75" x14ac:dyDescent="0.3">
      <c r="A2" s="7" t="s">
        <v>1</v>
      </c>
      <c r="B2" s="7"/>
      <c r="C2" s="3"/>
      <c r="D2" s="4"/>
      <c r="E2" s="5"/>
      <c r="F2" s="5"/>
      <c r="G2" s="8"/>
    </row>
    <row r="3" spans="1:7" ht="15" x14ac:dyDescent="0.3">
      <c r="A3" s="1"/>
      <c r="B3" s="2"/>
      <c r="C3" s="3"/>
      <c r="D3" s="4"/>
      <c r="E3" s="5"/>
      <c r="F3" s="5"/>
      <c r="G3" s="8"/>
    </row>
    <row r="4" spans="1:7" ht="15" x14ac:dyDescent="0.3">
      <c r="A4" s="1"/>
      <c r="B4" s="2"/>
      <c r="C4" s="3"/>
      <c r="D4" s="4"/>
      <c r="E4" s="5"/>
      <c r="F4" s="5"/>
      <c r="G4" s="8"/>
    </row>
    <row r="5" spans="1:7" ht="18" x14ac:dyDescent="0.25">
      <c r="A5" s="208" t="s">
        <v>1523</v>
      </c>
      <c r="B5" s="208"/>
      <c r="C5" s="208"/>
      <c r="D5" s="208"/>
      <c r="E5" s="208"/>
      <c r="F5" s="208"/>
      <c r="G5" s="208"/>
    </row>
    <row r="6" spans="1:7" ht="15" x14ac:dyDescent="0.3">
      <c r="A6" s="1"/>
      <c r="B6" s="9"/>
      <c r="C6" s="9"/>
      <c r="D6" s="9"/>
      <c r="E6" s="9"/>
      <c r="F6" s="10"/>
      <c r="G6" s="11"/>
    </row>
    <row r="7" spans="1:7" x14ac:dyDescent="0.2">
      <c r="A7" s="12" t="s">
        <v>2</v>
      </c>
      <c r="B7" s="12" t="s">
        <v>3</v>
      </c>
      <c r="C7" s="13" t="s">
        <v>4</v>
      </c>
      <c r="D7" s="14" t="s">
        <v>5</v>
      </c>
      <c r="E7" s="13" t="s">
        <v>6</v>
      </c>
      <c r="F7" s="13" t="s">
        <v>7</v>
      </c>
      <c r="G7" s="13" t="s">
        <v>32</v>
      </c>
    </row>
    <row r="8" spans="1:7" ht="15" x14ac:dyDescent="0.3">
      <c r="A8" s="15">
        <v>13</v>
      </c>
      <c r="B8" s="16">
        <v>40842</v>
      </c>
      <c r="C8" s="33" t="s">
        <v>1524</v>
      </c>
      <c r="D8" s="18">
        <f>+B8+30</f>
        <v>40872</v>
      </c>
      <c r="E8" s="19" t="s">
        <v>85</v>
      </c>
      <c r="F8" s="19" t="s">
        <v>1242</v>
      </c>
      <c r="G8" s="21">
        <f>429.87+8.6</f>
        <v>438.47</v>
      </c>
    </row>
    <row r="9" spans="1:7" ht="15" x14ac:dyDescent="0.3">
      <c r="A9" s="15">
        <v>14</v>
      </c>
      <c r="B9" s="16">
        <v>40841</v>
      </c>
      <c r="C9" s="33" t="s">
        <v>1525</v>
      </c>
      <c r="D9" s="18">
        <f>+B9+30</f>
        <v>40871</v>
      </c>
      <c r="E9" s="19" t="s">
        <v>148</v>
      </c>
      <c r="F9" s="19" t="s">
        <v>1526</v>
      </c>
      <c r="G9" s="21">
        <v>59.47</v>
      </c>
    </row>
    <row r="10" spans="1:7" ht="15" x14ac:dyDescent="0.3">
      <c r="A10" s="15">
        <v>15</v>
      </c>
      <c r="B10" s="16">
        <v>40841</v>
      </c>
      <c r="C10" s="33" t="s">
        <v>1527</v>
      </c>
      <c r="D10" s="18">
        <f>+B10+30</f>
        <v>40871</v>
      </c>
      <c r="E10" s="19" t="s">
        <v>1528</v>
      </c>
      <c r="F10" s="19" t="s">
        <v>1529</v>
      </c>
      <c r="G10" s="21">
        <f>1271.21-153</f>
        <v>1118.21</v>
      </c>
    </row>
    <row r="11" spans="1:7" ht="15" x14ac:dyDescent="0.3">
      <c r="A11" s="15">
        <v>16</v>
      </c>
      <c r="B11" s="16">
        <v>40852</v>
      </c>
      <c r="C11" s="33" t="s">
        <v>1530</v>
      </c>
      <c r="D11" s="18">
        <f>+B11+15</f>
        <v>40867</v>
      </c>
      <c r="E11" s="19" t="s">
        <v>1531</v>
      </c>
      <c r="F11" s="19" t="s">
        <v>1532</v>
      </c>
      <c r="G11" s="21">
        <v>94.4</v>
      </c>
    </row>
    <row r="12" spans="1:7" ht="15" x14ac:dyDescent="0.3">
      <c r="A12" s="15">
        <v>17</v>
      </c>
      <c r="B12" s="16">
        <v>40852</v>
      </c>
      <c r="C12" s="33" t="s">
        <v>1533</v>
      </c>
      <c r="D12" s="18">
        <f>+B12+15</f>
        <v>40867</v>
      </c>
      <c r="E12" s="19" t="s">
        <v>1531</v>
      </c>
      <c r="F12" s="19" t="s">
        <v>1534</v>
      </c>
      <c r="G12" s="21">
        <v>177</v>
      </c>
    </row>
    <row r="13" spans="1:7" ht="15" x14ac:dyDescent="0.3">
      <c r="A13" s="15">
        <v>18</v>
      </c>
      <c r="B13" s="16">
        <v>40837</v>
      </c>
      <c r="C13" s="33" t="s">
        <v>1535</v>
      </c>
      <c r="D13" s="18">
        <f>+B13</f>
        <v>40837</v>
      </c>
      <c r="E13" s="19" t="s">
        <v>1385</v>
      </c>
      <c r="F13" s="19" t="s">
        <v>1536</v>
      </c>
      <c r="G13" s="21">
        <v>2631.4</v>
      </c>
    </row>
    <row r="14" spans="1:7" ht="15" x14ac:dyDescent="0.3">
      <c r="A14" s="15">
        <v>19</v>
      </c>
      <c r="B14" s="16">
        <v>40857</v>
      </c>
      <c r="C14" s="33" t="s">
        <v>1537</v>
      </c>
      <c r="D14" s="18">
        <f>+B14+15</f>
        <v>40872</v>
      </c>
      <c r="E14" s="19" t="s">
        <v>1538</v>
      </c>
      <c r="F14" s="19" t="s">
        <v>1539</v>
      </c>
      <c r="G14" s="21">
        <v>1666.68</v>
      </c>
    </row>
    <row r="15" spans="1:7" ht="15" x14ac:dyDescent="0.3">
      <c r="A15" s="15">
        <v>20</v>
      </c>
      <c r="B15" s="16">
        <v>40851</v>
      </c>
      <c r="C15" s="33" t="s">
        <v>1540</v>
      </c>
      <c r="D15" s="18">
        <f>+B15+15</f>
        <v>40866</v>
      </c>
      <c r="E15" s="19" t="s">
        <v>309</v>
      </c>
      <c r="F15" s="19" t="s">
        <v>1541</v>
      </c>
      <c r="G15" s="21">
        <v>690.16</v>
      </c>
    </row>
    <row r="16" spans="1:7" ht="15" x14ac:dyDescent="0.3">
      <c r="A16" s="15">
        <v>21</v>
      </c>
      <c r="B16" s="16">
        <v>40850</v>
      </c>
      <c r="C16" s="33" t="s">
        <v>1542</v>
      </c>
      <c r="D16" s="18">
        <f>+B16+15</f>
        <v>40865</v>
      </c>
      <c r="E16" s="19" t="s">
        <v>1543</v>
      </c>
      <c r="F16" s="19" t="s">
        <v>1544</v>
      </c>
      <c r="G16" s="21">
        <v>314</v>
      </c>
    </row>
    <row r="17" spans="1:7" ht="15" x14ac:dyDescent="0.3">
      <c r="A17" s="15">
        <v>22</v>
      </c>
      <c r="B17" s="16">
        <v>40850</v>
      </c>
      <c r="C17" s="33" t="s">
        <v>1545</v>
      </c>
      <c r="D17" s="18">
        <f>+B17+15</f>
        <v>40865</v>
      </c>
      <c r="E17" s="19" t="s">
        <v>1543</v>
      </c>
      <c r="F17" s="19" t="s">
        <v>1546</v>
      </c>
      <c r="G17" s="21">
        <v>23.36</v>
      </c>
    </row>
    <row r="18" spans="1:7" ht="15" x14ac:dyDescent="0.3">
      <c r="A18" s="15">
        <v>23</v>
      </c>
      <c r="B18" s="16">
        <v>40850</v>
      </c>
      <c r="C18" s="33" t="s">
        <v>1547</v>
      </c>
      <c r="D18" s="18">
        <f>+B18+15</f>
        <v>40865</v>
      </c>
      <c r="E18" s="19" t="s">
        <v>44</v>
      </c>
      <c r="F18" s="19" t="s">
        <v>1548</v>
      </c>
      <c r="G18" s="21">
        <v>32.450000000000003</v>
      </c>
    </row>
    <row r="19" spans="1:7" ht="15" x14ac:dyDescent="0.3">
      <c r="A19" s="15">
        <v>24</v>
      </c>
      <c r="B19" s="16">
        <v>40850</v>
      </c>
      <c r="C19" s="33" t="s">
        <v>1549</v>
      </c>
      <c r="D19" s="18">
        <f>+B19+7</f>
        <v>40857</v>
      </c>
      <c r="E19" s="19" t="s">
        <v>1550</v>
      </c>
      <c r="F19" s="19" t="s">
        <v>1551</v>
      </c>
      <c r="G19" s="21">
        <v>50</v>
      </c>
    </row>
    <row r="20" spans="1:7" ht="30" x14ac:dyDescent="0.3">
      <c r="A20" s="15">
        <v>25</v>
      </c>
      <c r="B20" s="16">
        <v>40849</v>
      </c>
      <c r="C20" s="33" t="s">
        <v>1552</v>
      </c>
      <c r="D20" s="18">
        <f>+B20</f>
        <v>40849</v>
      </c>
      <c r="E20" s="19" t="s">
        <v>1553</v>
      </c>
      <c r="F20" s="19" t="s">
        <v>1383</v>
      </c>
      <c r="G20" s="21">
        <v>106.2</v>
      </c>
    </row>
    <row r="21" spans="1:7" ht="15" x14ac:dyDescent="0.3">
      <c r="A21" s="15">
        <v>26</v>
      </c>
      <c r="B21" s="16">
        <v>40848</v>
      </c>
      <c r="C21" s="33">
        <v>74451599</v>
      </c>
      <c r="D21" s="18">
        <f>+B21+29</f>
        <v>40877</v>
      </c>
      <c r="E21" s="19" t="s">
        <v>67</v>
      </c>
      <c r="F21" s="19" t="s">
        <v>1554</v>
      </c>
      <c r="G21" s="21">
        <v>1219.3800000000001</v>
      </c>
    </row>
    <row r="22" spans="1:7" ht="30" x14ac:dyDescent="0.3">
      <c r="A22" s="15">
        <v>27</v>
      </c>
      <c r="B22" s="16">
        <v>40848</v>
      </c>
      <c r="C22" s="33">
        <v>62517805</v>
      </c>
      <c r="D22" s="18">
        <f>+B22+29</f>
        <v>40877</v>
      </c>
      <c r="E22" s="19" t="s">
        <v>393</v>
      </c>
      <c r="F22" s="19" t="s">
        <v>1555</v>
      </c>
      <c r="G22" s="21">
        <v>821.19</v>
      </c>
    </row>
    <row r="23" spans="1:7" ht="15" x14ac:dyDescent="0.3">
      <c r="A23" s="15">
        <v>28</v>
      </c>
      <c r="B23" s="16">
        <v>40851</v>
      </c>
      <c r="C23" s="33" t="s">
        <v>1556</v>
      </c>
      <c r="D23" s="18">
        <f>+B23+7</f>
        <v>40858</v>
      </c>
      <c r="E23" s="19" t="s">
        <v>1557</v>
      </c>
      <c r="F23" s="19" t="s">
        <v>1558</v>
      </c>
      <c r="G23" s="21">
        <v>375</v>
      </c>
    </row>
    <row r="24" spans="1:7" ht="30" x14ac:dyDescent="0.3">
      <c r="A24" s="15">
        <v>29</v>
      </c>
      <c r="B24" s="16">
        <v>40841</v>
      </c>
      <c r="C24" s="33" t="s">
        <v>1089</v>
      </c>
      <c r="D24" s="18">
        <f>+B24+30</f>
        <v>40871</v>
      </c>
      <c r="E24" s="19" t="s">
        <v>1458</v>
      </c>
      <c r="F24" s="19" t="s">
        <v>1559</v>
      </c>
      <c r="G24" s="21">
        <v>53.1</v>
      </c>
    </row>
    <row r="25" spans="1:7" ht="15" x14ac:dyDescent="0.2">
      <c r="A25" s="22"/>
      <c r="B25" s="22"/>
      <c r="C25" s="23"/>
      <c r="D25" s="24"/>
      <c r="E25" s="25"/>
      <c r="F25" s="26" t="s">
        <v>24</v>
      </c>
      <c r="G25" s="36">
        <f>SUM(G8:G24)</f>
        <v>9870.4700000000012</v>
      </c>
    </row>
    <row r="30" spans="1:7" ht="15" x14ac:dyDescent="0.3">
      <c r="A30" s="29"/>
      <c r="B30" s="30"/>
      <c r="C30" s="37"/>
      <c r="D30" s="30"/>
      <c r="E30" s="5"/>
      <c r="F30" s="6"/>
      <c r="G30" s="6"/>
    </row>
    <row r="31" spans="1:7" ht="18.75" x14ac:dyDescent="0.3">
      <c r="A31" s="31" t="s">
        <v>1</v>
      </c>
      <c r="B31" s="29"/>
      <c r="C31" s="37"/>
      <c r="D31" s="30"/>
      <c r="E31" s="5"/>
      <c r="F31" s="29"/>
      <c r="G31" s="29"/>
    </row>
    <row r="32" spans="1:7" ht="15" x14ac:dyDescent="0.3">
      <c r="A32" s="29"/>
      <c r="B32" s="30"/>
      <c r="C32" s="37"/>
      <c r="D32" s="30"/>
      <c r="E32" s="5"/>
      <c r="F32" s="5"/>
      <c r="G32" s="32"/>
    </row>
    <row r="33" spans="1:8" ht="15" x14ac:dyDescent="0.3">
      <c r="A33" s="29"/>
      <c r="B33" s="30"/>
      <c r="C33" s="37"/>
      <c r="D33" s="30"/>
      <c r="E33" s="5"/>
      <c r="F33" s="5"/>
      <c r="G33" s="32"/>
    </row>
    <row r="34" spans="1:8" ht="18" x14ac:dyDescent="0.25">
      <c r="A34" s="208" t="s">
        <v>1560</v>
      </c>
      <c r="B34" s="208"/>
      <c r="C34" s="208"/>
      <c r="D34" s="208"/>
      <c r="E34" s="208"/>
      <c r="F34" s="208"/>
      <c r="G34" s="208"/>
    </row>
    <row r="35" spans="1:8" ht="15" x14ac:dyDescent="0.3">
      <c r="A35" s="29"/>
      <c r="B35" s="9"/>
      <c r="C35" s="9"/>
      <c r="D35" s="9"/>
      <c r="E35" s="9"/>
      <c r="F35" s="10"/>
      <c r="G35" s="11"/>
    </row>
    <row r="36" spans="1:8" x14ac:dyDescent="0.2">
      <c r="A36" s="12" t="s">
        <v>2</v>
      </c>
      <c r="B36" s="12" t="s">
        <v>3</v>
      </c>
      <c r="C36" s="13" t="s">
        <v>4</v>
      </c>
      <c r="D36" s="14" t="s">
        <v>25</v>
      </c>
      <c r="E36" s="13" t="s">
        <v>6</v>
      </c>
      <c r="F36" s="13" t="s">
        <v>7</v>
      </c>
      <c r="G36" s="13" t="s">
        <v>32</v>
      </c>
    </row>
    <row r="37" spans="1:8" ht="15" x14ac:dyDescent="0.3">
      <c r="A37" s="15">
        <v>1</v>
      </c>
      <c r="B37" s="16">
        <v>40869</v>
      </c>
      <c r="C37" s="33" t="s">
        <v>1561</v>
      </c>
      <c r="D37" s="18" t="s">
        <v>1562</v>
      </c>
      <c r="E37" s="19" t="s">
        <v>1563</v>
      </c>
      <c r="F37" s="19" t="s">
        <v>1564</v>
      </c>
      <c r="G37" s="21">
        <v>99</v>
      </c>
      <c r="H37" t="s">
        <v>868</v>
      </c>
    </row>
    <row r="38" spans="1:8" ht="30" x14ac:dyDescent="0.3">
      <c r="A38" s="15">
        <v>2</v>
      </c>
      <c r="B38" s="16">
        <v>40854</v>
      </c>
      <c r="C38" s="33" t="s">
        <v>1565</v>
      </c>
      <c r="D38" s="18" t="s">
        <v>1400</v>
      </c>
      <c r="E38" s="19" t="s">
        <v>515</v>
      </c>
      <c r="F38" s="19" t="s">
        <v>1566</v>
      </c>
      <c r="G38" s="21">
        <v>1121.47</v>
      </c>
      <c r="H38" t="s">
        <v>868</v>
      </c>
    </row>
    <row r="39" spans="1:8" ht="30" x14ac:dyDescent="0.3">
      <c r="A39" s="15">
        <v>3</v>
      </c>
      <c r="B39" s="16">
        <v>40854</v>
      </c>
      <c r="C39" s="33" t="s">
        <v>1567</v>
      </c>
      <c r="D39" s="18" t="s">
        <v>1568</v>
      </c>
      <c r="E39" s="19" t="s">
        <v>1569</v>
      </c>
      <c r="F39" s="19" t="s">
        <v>1570</v>
      </c>
      <c r="G39" s="21">
        <v>2950</v>
      </c>
      <c r="H39" t="s">
        <v>868</v>
      </c>
    </row>
    <row r="40" spans="1:8" ht="30" x14ac:dyDescent="0.3">
      <c r="A40" s="15">
        <v>4</v>
      </c>
      <c r="B40" s="16">
        <v>40863</v>
      </c>
      <c r="C40" s="33" t="s">
        <v>1571</v>
      </c>
      <c r="D40" s="18" t="s">
        <v>1572</v>
      </c>
      <c r="E40" s="19" t="s">
        <v>241</v>
      </c>
      <c r="F40" s="19" t="s">
        <v>242</v>
      </c>
      <c r="G40" s="21">
        <v>2430</v>
      </c>
      <c r="H40" t="s">
        <v>868</v>
      </c>
    </row>
    <row r="41" spans="1:8" ht="30" x14ac:dyDescent="0.3">
      <c r="A41" s="15">
        <v>5</v>
      </c>
      <c r="B41" s="16">
        <v>40849</v>
      </c>
      <c r="C41" s="33" t="s">
        <v>1573</v>
      </c>
      <c r="D41" s="18" t="s">
        <v>1574</v>
      </c>
      <c r="E41" s="19" t="s">
        <v>1398</v>
      </c>
      <c r="F41" s="19" t="s">
        <v>1575</v>
      </c>
      <c r="G41" s="21">
        <v>1449.98</v>
      </c>
      <c r="H41" t="s">
        <v>868</v>
      </c>
    </row>
    <row r="42" spans="1:8" ht="30" x14ac:dyDescent="0.3">
      <c r="A42" s="15">
        <v>6</v>
      </c>
      <c r="B42" s="16">
        <v>40858</v>
      </c>
      <c r="C42" s="33" t="s">
        <v>1576</v>
      </c>
      <c r="D42" s="18" t="s">
        <v>1577</v>
      </c>
      <c r="E42" s="19" t="s">
        <v>1578</v>
      </c>
      <c r="F42" s="19" t="s">
        <v>1579</v>
      </c>
      <c r="G42" s="21">
        <v>2130.39</v>
      </c>
      <c r="H42" t="s">
        <v>868</v>
      </c>
    </row>
    <row r="43" spans="1:8" ht="15" x14ac:dyDescent="0.3">
      <c r="A43" s="15">
        <v>7</v>
      </c>
      <c r="B43" s="16">
        <v>40869</v>
      </c>
      <c r="C43" s="33" t="s">
        <v>1580</v>
      </c>
      <c r="D43" s="18" t="s">
        <v>1581</v>
      </c>
      <c r="E43" s="19" t="s">
        <v>582</v>
      </c>
      <c r="F43" s="19" t="s">
        <v>1582</v>
      </c>
      <c r="G43" s="21">
        <v>2025</v>
      </c>
      <c r="H43" t="s">
        <v>868</v>
      </c>
    </row>
    <row r="44" spans="1:8" ht="30" x14ac:dyDescent="0.3">
      <c r="A44" s="15">
        <v>8</v>
      </c>
      <c r="B44" s="16">
        <v>40871</v>
      </c>
      <c r="C44" s="33" t="s">
        <v>1583</v>
      </c>
      <c r="D44" s="18" t="s">
        <v>1584</v>
      </c>
      <c r="E44" s="19" t="s">
        <v>1585</v>
      </c>
      <c r="F44" s="19" t="s">
        <v>1586</v>
      </c>
      <c r="G44" s="21">
        <v>3177.5</v>
      </c>
      <c r="H44" s="45" t="s">
        <v>27</v>
      </c>
    </row>
    <row r="45" spans="1:8" ht="30" x14ac:dyDescent="0.3">
      <c r="A45" s="15">
        <v>9</v>
      </c>
      <c r="B45" s="16">
        <v>40871</v>
      </c>
      <c r="C45" s="33" t="s">
        <v>173</v>
      </c>
      <c r="D45" s="18" t="s">
        <v>1587</v>
      </c>
      <c r="E45" s="19" t="s">
        <v>1588</v>
      </c>
      <c r="F45" s="19" t="s">
        <v>1589</v>
      </c>
      <c r="G45" s="21" t="s">
        <v>1590</v>
      </c>
    </row>
    <row r="46" spans="1:8" ht="30" x14ac:dyDescent="0.3">
      <c r="A46" s="15">
        <v>10</v>
      </c>
      <c r="B46" s="16">
        <v>40871</v>
      </c>
      <c r="C46" s="33" t="s">
        <v>173</v>
      </c>
      <c r="D46" s="18" t="s">
        <v>1591</v>
      </c>
      <c r="E46" s="19" t="s">
        <v>241</v>
      </c>
      <c r="F46" s="19" t="s">
        <v>1592</v>
      </c>
      <c r="G46" s="21">
        <v>735.49</v>
      </c>
    </row>
    <row r="47" spans="1:8" ht="15" x14ac:dyDescent="0.3">
      <c r="A47" s="15">
        <v>11</v>
      </c>
      <c r="B47" s="16"/>
      <c r="C47" s="33"/>
      <c r="D47" s="18"/>
      <c r="E47" s="19"/>
      <c r="F47" s="19"/>
      <c r="G47" s="21"/>
    </row>
    <row r="48" spans="1:8" ht="15" x14ac:dyDescent="0.3">
      <c r="A48" s="29"/>
      <c r="B48" s="30"/>
      <c r="C48" s="37"/>
      <c r="D48" s="30"/>
      <c r="E48" s="5"/>
      <c r="F48" s="46" t="s">
        <v>24</v>
      </c>
      <c r="G48" s="36">
        <f>SUM(G37:G47)</f>
        <v>16118.83</v>
      </c>
    </row>
    <row r="51" spans="1:9" ht="15" customHeight="1" x14ac:dyDescent="0.3">
      <c r="A51" s="29"/>
      <c r="B51" s="30"/>
      <c r="C51" s="37"/>
      <c r="D51" s="30"/>
      <c r="E51" s="5"/>
      <c r="F51" s="207" t="s">
        <v>0</v>
      </c>
      <c r="G51" s="207"/>
    </row>
    <row r="52" spans="1:9" ht="18.75" x14ac:dyDescent="0.3">
      <c r="A52" s="31" t="s">
        <v>1</v>
      </c>
      <c r="B52" s="29"/>
      <c r="C52" s="37"/>
      <c r="D52" s="30"/>
      <c r="E52" s="5"/>
      <c r="F52" s="29"/>
      <c r="G52" s="29"/>
    </row>
    <row r="53" spans="1:9" ht="15" x14ac:dyDescent="0.3">
      <c r="A53" s="29"/>
      <c r="B53" s="30"/>
      <c r="C53" s="37"/>
      <c r="D53" s="30"/>
      <c r="E53" s="5"/>
      <c r="F53" s="5"/>
      <c r="G53" s="32"/>
    </row>
    <row r="54" spans="1:9" ht="15" x14ac:dyDescent="0.3">
      <c r="A54" s="29"/>
      <c r="B54" s="30"/>
      <c r="C54" s="37"/>
      <c r="D54" s="30"/>
      <c r="E54" s="5"/>
      <c r="F54" s="5"/>
      <c r="G54" s="32"/>
    </row>
    <row r="55" spans="1:9" ht="18" x14ac:dyDescent="0.25">
      <c r="A55" s="208" t="s">
        <v>1593</v>
      </c>
      <c r="B55" s="208"/>
      <c r="C55" s="208"/>
      <c r="D55" s="208"/>
      <c r="E55" s="208"/>
      <c r="F55" s="208"/>
      <c r="G55" s="208"/>
    </row>
    <row r="56" spans="1:9" ht="18" x14ac:dyDescent="0.25">
      <c r="A56" s="208" t="s">
        <v>157</v>
      </c>
      <c r="B56" s="208"/>
      <c r="C56" s="208"/>
      <c r="D56" s="208"/>
      <c r="E56" s="208"/>
      <c r="F56" s="208"/>
      <c r="G56" s="208"/>
    </row>
    <row r="57" spans="1:9" ht="15" x14ac:dyDescent="0.3">
      <c r="A57" s="29"/>
      <c r="B57" s="9"/>
      <c r="C57" s="9"/>
      <c r="D57" s="9"/>
      <c r="E57" s="9"/>
      <c r="F57" s="10"/>
      <c r="G57" s="11"/>
    </row>
    <row r="58" spans="1:9" x14ac:dyDescent="0.2">
      <c r="A58" s="12" t="s">
        <v>2</v>
      </c>
      <c r="B58" s="12" t="s">
        <v>3</v>
      </c>
      <c r="C58" s="13" t="s">
        <v>4</v>
      </c>
      <c r="D58" s="14" t="s">
        <v>25</v>
      </c>
      <c r="E58" s="13" t="s">
        <v>6</v>
      </c>
      <c r="F58" s="13" t="s">
        <v>7</v>
      </c>
      <c r="G58" s="13" t="s">
        <v>32</v>
      </c>
      <c r="H58" s="13" t="s">
        <v>8</v>
      </c>
    </row>
    <row r="59" spans="1:9" ht="30" x14ac:dyDescent="0.3">
      <c r="A59" s="15">
        <v>1</v>
      </c>
      <c r="B59" s="16">
        <v>40869</v>
      </c>
      <c r="C59" s="17" t="s">
        <v>1406</v>
      </c>
      <c r="D59" s="18" t="s">
        <v>1594</v>
      </c>
      <c r="E59" s="19" t="s">
        <v>1595</v>
      </c>
      <c r="F59" s="19" t="s">
        <v>1596</v>
      </c>
      <c r="G59" s="21">
        <v>66.08</v>
      </c>
      <c r="H59" s="21">
        <v>0</v>
      </c>
      <c r="I59" t="s">
        <v>868</v>
      </c>
    </row>
    <row r="60" spans="1:9" ht="30" x14ac:dyDescent="0.3">
      <c r="A60" s="15">
        <v>2</v>
      </c>
      <c r="B60" s="16">
        <v>40869</v>
      </c>
      <c r="C60" s="17" t="s">
        <v>1406</v>
      </c>
      <c r="D60" s="18" t="s">
        <v>1597</v>
      </c>
      <c r="E60" s="19" t="s">
        <v>1595</v>
      </c>
      <c r="F60" s="19" t="s">
        <v>1598</v>
      </c>
      <c r="G60" s="21">
        <v>1557.6</v>
      </c>
      <c r="H60" s="21">
        <v>0</v>
      </c>
      <c r="I60" t="s">
        <v>868</v>
      </c>
    </row>
    <row r="61" spans="1:9" ht="30" x14ac:dyDescent="0.3">
      <c r="A61" s="15">
        <v>3</v>
      </c>
      <c r="B61" s="16">
        <v>40869</v>
      </c>
      <c r="C61" s="17" t="s">
        <v>1406</v>
      </c>
      <c r="D61" s="18" t="s">
        <v>1599</v>
      </c>
      <c r="E61" s="19" t="s">
        <v>1595</v>
      </c>
      <c r="F61" s="19" t="s">
        <v>1600</v>
      </c>
      <c r="G61" s="21">
        <v>0</v>
      </c>
      <c r="H61" s="21">
        <v>1315</v>
      </c>
      <c r="I61" t="s">
        <v>868</v>
      </c>
    </row>
    <row r="62" spans="1:9" ht="30" x14ac:dyDescent="0.3">
      <c r="A62" s="15">
        <v>5</v>
      </c>
      <c r="B62" s="16">
        <v>40869</v>
      </c>
      <c r="C62" s="17" t="s">
        <v>1406</v>
      </c>
      <c r="D62" s="18" t="s">
        <v>1601</v>
      </c>
      <c r="E62" s="19" t="s">
        <v>160</v>
      </c>
      <c r="F62" s="19" t="s">
        <v>1602</v>
      </c>
      <c r="G62" s="21">
        <v>22869</v>
      </c>
      <c r="H62" s="21">
        <v>0</v>
      </c>
      <c r="I62" t="s">
        <v>868</v>
      </c>
    </row>
    <row r="63" spans="1:9" ht="30" x14ac:dyDescent="0.3">
      <c r="A63" s="15">
        <v>6</v>
      </c>
      <c r="B63" s="16">
        <v>40869</v>
      </c>
      <c r="C63" s="17" t="s">
        <v>1406</v>
      </c>
      <c r="D63" s="18" t="s">
        <v>1603</v>
      </c>
      <c r="E63" s="19" t="s">
        <v>160</v>
      </c>
      <c r="F63" s="19" t="s">
        <v>1604</v>
      </c>
      <c r="G63" s="21">
        <v>3980</v>
      </c>
      <c r="H63" s="21">
        <v>0</v>
      </c>
      <c r="I63" t="s">
        <v>868</v>
      </c>
    </row>
    <row r="64" spans="1:9" ht="15" x14ac:dyDescent="0.3">
      <c r="A64" s="29"/>
      <c r="B64" s="30"/>
      <c r="C64" s="37"/>
      <c r="D64" s="30"/>
      <c r="E64" s="5"/>
      <c r="F64" s="46" t="s">
        <v>24</v>
      </c>
      <c r="G64" s="36">
        <f>SUM(G59:G63)</f>
        <v>28472.68</v>
      </c>
      <c r="H64" s="27">
        <f>SUM(H59:H63)</f>
        <v>1315</v>
      </c>
    </row>
    <row r="73" spans="1:7" x14ac:dyDescent="0.2">
      <c r="A73" s="211" t="s">
        <v>609</v>
      </c>
      <c r="B73" s="211"/>
      <c r="C73" s="211"/>
      <c r="D73" s="211"/>
      <c r="E73" s="211"/>
      <c r="F73" s="211"/>
      <c r="G73" s="211"/>
    </row>
    <row r="74" spans="1:7" x14ac:dyDescent="0.2">
      <c r="A74" s="211"/>
      <c r="B74" s="211"/>
      <c r="C74" s="211"/>
      <c r="D74" s="211"/>
      <c r="E74" s="211"/>
      <c r="F74" s="211"/>
      <c r="G74" s="211"/>
    </row>
    <row r="75" spans="1:7" x14ac:dyDescent="0.2">
      <c r="A75" s="211"/>
      <c r="B75" s="211"/>
      <c r="C75" s="211"/>
      <c r="D75" s="211"/>
      <c r="E75" s="211"/>
      <c r="F75" s="211"/>
      <c r="G75" s="211"/>
    </row>
    <row r="78" spans="1:7" ht="15" customHeight="1" x14ac:dyDescent="0.3">
      <c r="A78" s="29"/>
      <c r="B78" s="30"/>
      <c r="C78" s="37"/>
      <c r="D78" s="30"/>
      <c r="E78" s="5"/>
      <c r="F78" s="207" t="s">
        <v>0</v>
      </c>
      <c r="G78" s="207"/>
    </row>
    <row r="79" spans="1:7" ht="18.75" x14ac:dyDescent="0.3">
      <c r="A79" s="31" t="s">
        <v>1</v>
      </c>
      <c r="B79" s="29"/>
      <c r="C79" s="37"/>
      <c r="D79" s="30"/>
      <c r="E79" s="5"/>
      <c r="F79" s="29"/>
      <c r="G79" s="29"/>
    </row>
    <row r="80" spans="1:7" ht="15" x14ac:dyDescent="0.3">
      <c r="A80" s="29"/>
      <c r="B80" s="30"/>
      <c r="C80" s="37"/>
      <c r="D80" s="30"/>
      <c r="E80" s="5"/>
      <c r="F80" s="5"/>
      <c r="G80" s="32"/>
    </row>
    <row r="81" spans="1:8" ht="18" x14ac:dyDescent="0.25">
      <c r="A81" s="208" t="s">
        <v>1605</v>
      </c>
      <c r="B81" s="208"/>
      <c r="C81" s="208"/>
      <c r="D81" s="208"/>
      <c r="E81" s="208"/>
      <c r="F81" s="208"/>
      <c r="G81" s="208"/>
    </row>
    <row r="82" spans="1:8" ht="15" x14ac:dyDescent="0.3">
      <c r="A82" s="29"/>
      <c r="B82" s="9"/>
      <c r="C82" s="9"/>
      <c r="D82" s="9"/>
      <c r="E82" s="9"/>
      <c r="F82" s="10"/>
      <c r="G82" s="11"/>
    </row>
    <row r="83" spans="1:8" x14ac:dyDescent="0.2">
      <c r="A83" s="12" t="s">
        <v>2</v>
      </c>
      <c r="B83" s="12" t="s">
        <v>3</v>
      </c>
      <c r="C83" s="13" t="s">
        <v>4</v>
      </c>
      <c r="D83" s="14" t="s">
        <v>25</v>
      </c>
      <c r="E83" s="13" t="s">
        <v>6</v>
      </c>
      <c r="F83" s="13" t="s">
        <v>7</v>
      </c>
      <c r="G83" s="13" t="s">
        <v>32</v>
      </c>
    </row>
    <row r="84" spans="1:8" ht="30" x14ac:dyDescent="0.3">
      <c r="A84" s="15">
        <v>1</v>
      </c>
      <c r="B84" s="16">
        <v>40868</v>
      </c>
      <c r="C84" s="17" t="s">
        <v>1606</v>
      </c>
      <c r="D84" s="18" t="s">
        <v>1607</v>
      </c>
      <c r="E84" s="19" t="s">
        <v>1608</v>
      </c>
      <c r="F84" s="19" t="s">
        <v>1609</v>
      </c>
      <c r="G84" s="21">
        <v>519200</v>
      </c>
      <c r="H84" t="s">
        <v>1610</v>
      </c>
    </row>
    <row r="85" spans="1:8" ht="15" x14ac:dyDescent="0.3">
      <c r="A85" s="15"/>
      <c r="B85" s="16"/>
      <c r="C85" s="17"/>
      <c r="D85" s="18"/>
      <c r="E85" s="19"/>
      <c r="F85" s="19"/>
      <c r="G85" s="21"/>
    </row>
    <row r="86" spans="1:8" ht="15" x14ac:dyDescent="0.3">
      <c r="A86" s="29"/>
      <c r="B86" s="30"/>
      <c r="C86" s="37"/>
      <c r="D86" s="30"/>
      <c r="E86" s="5"/>
      <c r="F86" s="46" t="s">
        <v>24</v>
      </c>
      <c r="G86" s="36">
        <f>+G84</f>
        <v>519200</v>
      </c>
    </row>
  </sheetData>
  <sheetProtection selectLockedCells="1" selectUnlockedCells="1"/>
  <mergeCells count="9">
    <mergeCell ref="A73:G75"/>
    <mergeCell ref="F78:G78"/>
    <mergeCell ref="A81:G81"/>
    <mergeCell ref="F1:G1"/>
    <mergeCell ref="A5:G5"/>
    <mergeCell ref="A34:G34"/>
    <mergeCell ref="F51:G51"/>
    <mergeCell ref="A55:G55"/>
    <mergeCell ref="A56:G56"/>
  </mergeCells>
  <printOptions horizontalCentered="1"/>
  <pageMargins left="0.19652777777777777" right="0.19652777777777777" top="0.74791666666666667" bottom="0.74791666666666667" header="0.51180555555555551" footer="0.51180555555555551"/>
  <pageSetup paperSize="9" scale="73" firstPageNumber="0"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>
    <pageSetUpPr fitToPage="1"/>
  </sheetPr>
  <dimension ref="A1:H31"/>
  <sheetViews>
    <sheetView topLeftCell="A4" workbookViewId="0">
      <selection activeCell="G28" sqref="G28"/>
    </sheetView>
  </sheetViews>
  <sheetFormatPr baseColWidth="10" defaultColWidth="10.7109375" defaultRowHeight="12.75" x14ac:dyDescent="0.2"/>
  <cols>
    <col min="1" max="1" width="3.85546875" customWidth="1"/>
    <col min="2" max="2" width="13.85546875" customWidth="1"/>
    <col min="3" max="3" width="15.5703125" customWidth="1"/>
    <col min="4" max="4" width="14.42578125" customWidth="1"/>
    <col min="5" max="5" width="38.140625" customWidth="1"/>
    <col min="6" max="6" width="38" customWidth="1"/>
    <col min="7" max="7" width="13.140625" customWidth="1"/>
  </cols>
  <sheetData>
    <row r="1" spans="1:7" ht="15" customHeight="1" x14ac:dyDescent="0.3">
      <c r="A1" s="1"/>
      <c r="B1" s="2"/>
      <c r="C1" s="3"/>
      <c r="D1" s="4"/>
      <c r="E1" s="5"/>
      <c r="F1" s="207" t="s">
        <v>0</v>
      </c>
      <c r="G1" s="207"/>
    </row>
    <row r="2" spans="1:7" ht="18.75" x14ac:dyDescent="0.3">
      <c r="A2" s="7" t="s">
        <v>1</v>
      </c>
      <c r="B2" s="7"/>
      <c r="C2" s="3"/>
      <c r="D2" s="4"/>
      <c r="E2" s="5"/>
      <c r="F2" s="5"/>
      <c r="G2" s="8"/>
    </row>
    <row r="3" spans="1:7" ht="15" x14ac:dyDescent="0.3">
      <c r="A3" s="1"/>
      <c r="B3" s="2"/>
      <c r="C3" s="3"/>
      <c r="D3" s="4"/>
      <c r="E3" s="5"/>
      <c r="F3" s="5"/>
      <c r="G3" s="8"/>
    </row>
    <row r="4" spans="1:7" ht="15" x14ac:dyDescent="0.3">
      <c r="A4" s="1"/>
      <c r="B4" s="2"/>
      <c r="C4" s="3"/>
      <c r="D4" s="4"/>
      <c r="E4" s="5"/>
      <c r="F4" s="5"/>
      <c r="G4" s="8"/>
    </row>
    <row r="5" spans="1:7" ht="18" x14ac:dyDescent="0.25">
      <c r="A5" s="208" t="s">
        <v>1611</v>
      </c>
      <c r="B5" s="208"/>
      <c r="C5" s="208"/>
      <c r="D5" s="208"/>
      <c r="E5" s="208"/>
      <c r="F5" s="208"/>
      <c r="G5" s="208"/>
    </row>
    <row r="6" spans="1:7" ht="15" x14ac:dyDescent="0.3">
      <c r="A6" s="1"/>
      <c r="B6" s="9"/>
      <c r="C6" s="9"/>
      <c r="D6" s="9"/>
      <c r="E6" s="9"/>
      <c r="F6" s="10"/>
      <c r="G6" s="11"/>
    </row>
    <row r="7" spans="1:7" x14ac:dyDescent="0.2">
      <c r="A7" s="12" t="s">
        <v>2</v>
      </c>
      <c r="B7" s="12" t="s">
        <v>3</v>
      </c>
      <c r="C7" s="13" t="s">
        <v>4</v>
      </c>
      <c r="D7" s="14" t="s">
        <v>5</v>
      </c>
      <c r="E7" s="13" t="s">
        <v>6</v>
      </c>
      <c r="F7" s="13" t="s">
        <v>7</v>
      </c>
      <c r="G7" s="13" t="s">
        <v>8</v>
      </c>
    </row>
    <row r="8" spans="1:7" ht="15" x14ac:dyDescent="0.3">
      <c r="A8" s="52">
        <v>1</v>
      </c>
      <c r="B8" s="53">
        <v>40840</v>
      </c>
      <c r="C8" s="17" t="s">
        <v>1612</v>
      </c>
      <c r="D8" s="96">
        <f>+B8+30</f>
        <v>40870</v>
      </c>
      <c r="E8" s="19" t="s">
        <v>1613</v>
      </c>
      <c r="F8" s="20" t="s">
        <v>1230</v>
      </c>
      <c r="G8" s="21">
        <v>239.4</v>
      </c>
    </row>
    <row r="9" spans="1:7" ht="15" x14ac:dyDescent="0.3">
      <c r="A9" s="52">
        <v>2</v>
      </c>
      <c r="B9" s="53">
        <v>40844</v>
      </c>
      <c r="C9" s="17" t="s">
        <v>1614</v>
      </c>
      <c r="D9" s="96">
        <f>+B9+15</f>
        <v>40859</v>
      </c>
      <c r="E9" s="19" t="s">
        <v>1220</v>
      </c>
      <c r="F9" s="20" t="s">
        <v>1615</v>
      </c>
      <c r="G9" s="21">
        <v>35.4</v>
      </c>
    </row>
    <row r="10" spans="1:7" ht="15" x14ac:dyDescent="0.3">
      <c r="A10" s="52">
        <v>3</v>
      </c>
      <c r="B10" s="53">
        <v>40851</v>
      </c>
      <c r="C10" s="17" t="s">
        <v>1616</v>
      </c>
      <c r="D10" s="96">
        <f>+B10+15</f>
        <v>40866</v>
      </c>
      <c r="E10" s="19" t="s">
        <v>309</v>
      </c>
      <c r="F10" s="20" t="s">
        <v>1617</v>
      </c>
      <c r="G10" s="21">
        <v>70.8</v>
      </c>
    </row>
    <row r="11" spans="1:7" ht="15" x14ac:dyDescent="0.3">
      <c r="A11" s="52">
        <v>4</v>
      </c>
      <c r="B11" s="53">
        <v>40850</v>
      </c>
      <c r="C11" s="17" t="s">
        <v>1618</v>
      </c>
      <c r="D11" s="96">
        <f>+B11+15</f>
        <v>40865</v>
      </c>
      <c r="E11" s="19" t="s">
        <v>189</v>
      </c>
      <c r="F11" s="20" t="s">
        <v>1619</v>
      </c>
      <c r="G11" s="21">
        <v>103.72</v>
      </c>
    </row>
    <row r="12" spans="1:7" ht="15" x14ac:dyDescent="0.3">
      <c r="A12" s="52">
        <v>5</v>
      </c>
      <c r="B12" s="53">
        <v>40844</v>
      </c>
      <c r="C12" s="17" t="s">
        <v>1620</v>
      </c>
      <c r="D12" s="96">
        <f>+B12+30</f>
        <v>40874</v>
      </c>
      <c r="E12" s="19" t="s">
        <v>1621</v>
      </c>
      <c r="F12" s="20" t="s">
        <v>1622</v>
      </c>
      <c r="G12" s="21">
        <v>475.68</v>
      </c>
    </row>
    <row r="13" spans="1:7" ht="15" x14ac:dyDescent="0.3">
      <c r="A13" s="52">
        <v>6</v>
      </c>
      <c r="B13" s="53">
        <v>40852</v>
      </c>
      <c r="C13" s="17" t="s">
        <v>1623</v>
      </c>
      <c r="D13" s="96">
        <f>+B13+15</f>
        <v>40867</v>
      </c>
      <c r="E13" s="19" t="s">
        <v>17</v>
      </c>
      <c r="F13" s="20" t="s">
        <v>1624</v>
      </c>
      <c r="G13" s="21">
        <v>211.69</v>
      </c>
    </row>
    <row r="14" spans="1:7" ht="15" x14ac:dyDescent="0.3">
      <c r="A14" s="52">
        <v>7</v>
      </c>
      <c r="B14" s="53">
        <v>40851</v>
      </c>
      <c r="C14" s="17" t="s">
        <v>1625</v>
      </c>
      <c r="D14" s="96">
        <f>+B14+15</f>
        <v>40866</v>
      </c>
      <c r="E14" s="19" t="s">
        <v>1626</v>
      </c>
      <c r="F14" s="20" t="s">
        <v>1627</v>
      </c>
      <c r="G14" s="21">
        <v>41.63</v>
      </c>
    </row>
    <row r="15" spans="1:7" ht="15" x14ac:dyDescent="0.2">
      <c r="A15" s="22"/>
      <c r="B15" s="22"/>
      <c r="C15" s="23"/>
      <c r="D15" s="24"/>
      <c r="E15" s="25"/>
      <c r="F15" s="26" t="s">
        <v>24</v>
      </c>
      <c r="G15" s="27">
        <f>SUM(G8:G14)</f>
        <v>1178.3200000000002</v>
      </c>
    </row>
    <row r="19" spans="1:8" x14ac:dyDescent="0.2">
      <c r="B19" s="35"/>
    </row>
    <row r="21" spans="1:8" ht="15" customHeight="1" x14ac:dyDescent="0.3">
      <c r="A21" s="29"/>
      <c r="B21" s="30"/>
      <c r="C21" s="37"/>
      <c r="D21" s="30"/>
      <c r="E21" s="5"/>
      <c r="F21" s="207" t="s">
        <v>0</v>
      </c>
      <c r="G21" s="207"/>
    </row>
    <row r="22" spans="1:8" ht="18.75" x14ac:dyDescent="0.3">
      <c r="A22" s="31" t="s">
        <v>1</v>
      </c>
      <c r="B22" s="29"/>
      <c r="C22" s="37"/>
      <c r="D22" s="30"/>
      <c r="E22" s="5"/>
      <c r="F22" s="29"/>
      <c r="G22" s="29"/>
    </row>
    <row r="23" spans="1:8" ht="15" x14ac:dyDescent="0.3">
      <c r="A23" s="29"/>
      <c r="B23" s="30"/>
      <c r="C23" s="37"/>
      <c r="D23" s="30"/>
      <c r="E23" s="5"/>
      <c r="F23" s="5"/>
      <c r="G23" s="32"/>
    </row>
    <row r="24" spans="1:8" ht="15" x14ac:dyDescent="0.3">
      <c r="A24" s="29"/>
      <c r="B24" s="30"/>
      <c r="C24" s="37"/>
      <c r="D24" s="30"/>
      <c r="E24" s="5"/>
      <c r="F24" s="5"/>
      <c r="G24" s="32"/>
    </row>
    <row r="25" spans="1:8" ht="18" x14ac:dyDescent="0.25">
      <c r="A25" s="208" t="s">
        <v>1628</v>
      </c>
      <c r="B25" s="208"/>
      <c r="C25" s="208"/>
      <c r="D25" s="208"/>
      <c r="E25" s="208"/>
      <c r="F25" s="208"/>
      <c r="G25" s="208"/>
    </row>
    <row r="26" spans="1:8" ht="15" x14ac:dyDescent="0.3">
      <c r="A26" s="29"/>
      <c r="B26" s="9"/>
      <c r="C26" s="9"/>
      <c r="D26" s="9"/>
      <c r="E26" s="9"/>
      <c r="F26" s="10"/>
      <c r="G26" s="11"/>
    </row>
    <row r="27" spans="1:8" x14ac:dyDescent="0.2">
      <c r="A27" s="12" t="s">
        <v>2</v>
      </c>
      <c r="B27" s="12" t="s">
        <v>3</v>
      </c>
      <c r="C27" s="13" t="s">
        <v>4</v>
      </c>
      <c r="D27" s="14" t="s">
        <v>25</v>
      </c>
      <c r="E27" s="13" t="s">
        <v>6</v>
      </c>
      <c r="F27" s="13" t="s">
        <v>7</v>
      </c>
      <c r="G27" s="13" t="s">
        <v>8</v>
      </c>
    </row>
    <row r="28" spans="1:8" ht="30" x14ac:dyDescent="0.3">
      <c r="A28" s="52">
        <v>1</v>
      </c>
      <c r="B28" s="53">
        <v>40869</v>
      </c>
      <c r="C28" s="17" t="s">
        <v>1629</v>
      </c>
      <c r="D28" s="18" t="s">
        <v>1630</v>
      </c>
      <c r="E28" s="19" t="s">
        <v>1631</v>
      </c>
      <c r="F28" s="20" t="s">
        <v>1632</v>
      </c>
      <c r="G28" s="21">
        <v>11256.56</v>
      </c>
      <c r="H28" t="s">
        <v>868</v>
      </c>
    </row>
    <row r="29" spans="1:8" ht="30" x14ac:dyDescent="0.3">
      <c r="A29" s="52">
        <v>2</v>
      </c>
      <c r="B29" s="53">
        <v>40869</v>
      </c>
      <c r="C29" s="17" t="s">
        <v>1633</v>
      </c>
      <c r="D29" s="18" t="s">
        <v>1634</v>
      </c>
      <c r="E29" s="19" t="s">
        <v>1635</v>
      </c>
      <c r="F29" s="20" t="s">
        <v>1636</v>
      </c>
      <c r="G29" s="21">
        <v>16428.36</v>
      </c>
      <c r="H29" t="s">
        <v>868</v>
      </c>
    </row>
    <row r="30" spans="1:8" ht="30" x14ac:dyDescent="0.3">
      <c r="A30" s="52">
        <v>3</v>
      </c>
      <c r="B30" s="16">
        <v>40872</v>
      </c>
      <c r="C30" s="33" t="s">
        <v>29</v>
      </c>
      <c r="D30" s="18" t="s">
        <v>1637</v>
      </c>
      <c r="E30" s="19" t="s">
        <v>1638</v>
      </c>
      <c r="F30" s="19" t="s">
        <v>1639</v>
      </c>
      <c r="G30" s="21">
        <v>30000</v>
      </c>
      <c r="H30" t="s">
        <v>1610</v>
      </c>
    </row>
    <row r="31" spans="1:8" ht="15" x14ac:dyDescent="0.3">
      <c r="A31" s="29"/>
      <c r="B31" s="30"/>
      <c r="C31" s="37"/>
      <c r="D31" s="30"/>
      <c r="E31" s="5"/>
      <c r="F31" s="46" t="s">
        <v>24</v>
      </c>
      <c r="G31" s="103">
        <f>SUM(G28:G30)</f>
        <v>57684.92</v>
      </c>
    </row>
  </sheetData>
  <sheetProtection selectLockedCells="1" selectUnlockedCells="1"/>
  <mergeCells count="4">
    <mergeCell ref="F1:G1"/>
    <mergeCell ref="A5:G5"/>
    <mergeCell ref="F21:G21"/>
    <mergeCell ref="A25:G25"/>
  </mergeCells>
  <printOptions horizontalCentered="1"/>
  <pageMargins left="0" right="0" top="0.74791666666666667" bottom="0.74791666666666667" header="0.51180555555555551" footer="0.51180555555555551"/>
  <pageSetup paperSize="9" scale="75" firstPageNumber="0"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7"/>
  <dimension ref="A1:I80"/>
  <sheetViews>
    <sheetView workbookViewId="0">
      <selection activeCell="A37" sqref="A37"/>
    </sheetView>
  </sheetViews>
  <sheetFormatPr baseColWidth="10" defaultColWidth="10.7109375" defaultRowHeight="12.75" x14ac:dyDescent="0.2"/>
  <cols>
    <col min="1" max="1" width="3.7109375" customWidth="1"/>
    <col min="2" max="2" width="14.28515625" customWidth="1"/>
    <col min="3" max="3" width="16" customWidth="1"/>
    <col min="4" max="4" width="14.42578125" customWidth="1"/>
    <col min="5" max="5" width="32.85546875" customWidth="1"/>
    <col min="6" max="6" width="28.140625" customWidth="1"/>
    <col min="7" max="7" width="14.28515625" customWidth="1"/>
  </cols>
  <sheetData>
    <row r="1" spans="1:7" ht="15" customHeight="1" x14ac:dyDescent="0.3">
      <c r="A1" s="1"/>
      <c r="B1" s="2"/>
      <c r="C1" s="3"/>
      <c r="D1" s="4"/>
      <c r="E1" s="5"/>
      <c r="F1" s="207" t="s">
        <v>0</v>
      </c>
      <c r="G1" s="207"/>
    </row>
    <row r="2" spans="1:7" ht="18.75" x14ac:dyDescent="0.3">
      <c r="A2" s="7" t="s">
        <v>1</v>
      </c>
      <c r="B2" s="7"/>
      <c r="C2" s="3"/>
      <c r="D2" s="4"/>
      <c r="E2" s="5"/>
      <c r="F2" s="5"/>
      <c r="G2" s="8"/>
    </row>
    <row r="3" spans="1:7" ht="15" x14ac:dyDescent="0.3">
      <c r="A3" s="1"/>
      <c r="B3" s="2"/>
      <c r="C3" s="3"/>
      <c r="D3" s="4"/>
      <c r="E3" s="5"/>
      <c r="F3" s="5"/>
      <c r="G3" s="8"/>
    </row>
    <row r="4" spans="1:7" ht="15" x14ac:dyDescent="0.3">
      <c r="A4" s="1"/>
      <c r="B4" s="2"/>
      <c r="C4" s="3"/>
      <c r="D4" s="4"/>
      <c r="E4" s="5"/>
      <c r="F4" s="5"/>
      <c r="G4" s="8"/>
    </row>
    <row r="5" spans="1:7" ht="18" x14ac:dyDescent="0.25">
      <c r="A5" s="208" t="s">
        <v>1640</v>
      </c>
      <c r="B5" s="208"/>
      <c r="C5" s="208"/>
      <c r="D5" s="208"/>
      <c r="E5" s="208"/>
      <c r="F5" s="208"/>
      <c r="G5" s="208"/>
    </row>
    <row r="6" spans="1:7" ht="15" x14ac:dyDescent="0.3">
      <c r="A6" s="1"/>
      <c r="B6" s="9"/>
      <c r="C6" s="9"/>
      <c r="D6" s="9"/>
      <c r="E6" s="9"/>
      <c r="F6" s="10"/>
      <c r="G6" s="11"/>
    </row>
    <row r="7" spans="1:7" x14ac:dyDescent="0.2">
      <c r="A7" s="12" t="s">
        <v>2</v>
      </c>
      <c r="B7" s="12" t="s">
        <v>3</v>
      </c>
      <c r="C7" s="13" t="s">
        <v>4</v>
      </c>
      <c r="D7" s="14" t="s">
        <v>5</v>
      </c>
      <c r="E7" s="13" t="s">
        <v>6</v>
      </c>
      <c r="F7" s="13" t="s">
        <v>7</v>
      </c>
      <c r="G7" s="13" t="s">
        <v>32</v>
      </c>
    </row>
    <row r="8" spans="1:7" ht="15" x14ac:dyDescent="0.3">
      <c r="A8" s="15">
        <v>1</v>
      </c>
      <c r="B8" s="16">
        <v>40859</v>
      </c>
      <c r="C8" s="33" t="s">
        <v>1641</v>
      </c>
      <c r="D8" s="18">
        <f>+B8+15</f>
        <v>40874</v>
      </c>
      <c r="E8" s="19" t="s">
        <v>386</v>
      </c>
      <c r="F8" s="19" t="s">
        <v>1642</v>
      </c>
      <c r="G8" s="21">
        <v>30.68</v>
      </c>
    </row>
    <row r="9" spans="1:7" ht="15" x14ac:dyDescent="0.3">
      <c r="A9" s="15">
        <v>2</v>
      </c>
      <c r="B9" s="16">
        <v>40858</v>
      </c>
      <c r="C9" s="33" t="s">
        <v>1643</v>
      </c>
      <c r="D9" s="18">
        <f>+B9+30</f>
        <v>40888</v>
      </c>
      <c r="E9" s="19" t="s">
        <v>44</v>
      </c>
      <c r="F9" s="19" t="s">
        <v>1548</v>
      </c>
      <c r="G9" s="21">
        <v>23.6</v>
      </c>
    </row>
    <row r="10" spans="1:7" ht="15" x14ac:dyDescent="0.3">
      <c r="A10" s="15">
        <v>3</v>
      </c>
      <c r="B10" s="16">
        <v>40862</v>
      </c>
      <c r="C10" s="33" t="s">
        <v>1644</v>
      </c>
      <c r="D10" s="18">
        <f>+B10+30</f>
        <v>40892</v>
      </c>
      <c r="E10" s="19" t="s">
        <v>1385</v>
      </c>
      <c r="F10" s="19" t="s">
        <v>1624</v>
      </c>
      <c r="G10" s="21">
        <v>4602</v>
      </c>
    </row>
    <row r="11" spans="1:7" ht="15" x14ac:dyDescent="0.3">
      <c r="A11" s="15">
        <v>4</v>
      </c>
      <c r="B11" s="16">
        <v>40861</v>
      </c>
      <c r="C11" s="33" t="s">
        <v>1645</v>
      </c>
      <c r="D11" s="18">
        <f t="shared" ref="D11:D23" si="0">+B11+15</f>
        <v>40876</v>
      </c>
      <c r="E11" s="19" t="s">
        <v>787</v>
      </c>
      <c r="F11" s="19" t="s">
        <v>878</v>
      </c>
      <c r="G11" s="21">
        <v>50.57</v>
      </c>
    </row>
    <row r="12" spans="1:7" ht="15" x14ac:dyDescent="0.3">
      <c r="A12" s="15">
        <v>5</v>
      </c>
      <c r="B12" s="16">
        <v>40858</v>
      </c>
      <c r="C12" s="33" t="s">
        <v>1646</v>
      </c>
      <c r="D12" s="18">
        <f t="shared" si="0"/>
        <v>40873</v>
      </c>
      <c r="E12" s="19" t="s">
        <v>787</v>
      </c>
      <c r="F12" s="19" t="s">
        <v>878</v>
      </c>
      <c r="G12" s="21">
        <v>126.43</v>
      </c>
    </row>
    <row r="13" spans="1:7" ht="15" x14ac:dyDescent="0.3">
      <c r="A13" s="15">
        <v>6</v>
      </c>
      <c r="B13" s="16">
        <v>40864</v>
      </c>
      <c r="C13" s="33" t="s">
        <v>1647</v>
      </c>
      <c r="D13" s="18">
        <f t="shared" si="0"/>
        <v>40879</v>
      </c>
      <c r="E13" s="19" t="s">
        <v>787</v>
      </c>
      <c r="F13" s="19" t="s">
        <v>878</v>
      </c>
      <c r="G13" s="21">
        <v>16.86</v>
      </c>
    </row>
    <row r="14" spans="1:7" ht="15" x14ac:dyDescent="0.3">
      <c r="A14" s="15">
        <v>7</v>
      </c>
      <c r="B14" s="16">
        <v>40845</v>
      </c>
      <c r="C14" s="33" t="s">
        <v>1648</v>
      </c>
      <c r="D14" s="18">
        <f t="shared" si="0"/>
        <v>40860</v>
      </c>
      <c r="E14" s="19" t="s">
        <v>233</v>
      </c>
      <c r="F14" s="19" t="s">
        <v>1649</v>
      </c>
      <c r="G14" s="21">
        <f>46+0.92</f>
        <v>46.92</v>
      </c>
    </row>
    <row r="15" spans="1:7" ht="15" x14ac:dyDescent="0.3">
      <c r="A15" s="15">
        <v>8</v>
      </c>
      <c r="B15" s="16">
        <v>40838</v>
      </c>
      <c r="C15" s="33" t="s">
        <v>1650</v>
      </c>
      <c r="D15" s="18">
        <f t="shared" si="0"/>
        <v>40853</v>
      </c>
      <c r="E15" s="19" t="s">
        <v>233</v>
      </c>
      <c r="F15" s="19" t="s">
        <v>1649</v>
      </c>
      <c r="G15" s="21">
        <f>46+0.92</f>
        <v>46.92</v>
      </c>
    </row>
    <row r="16" spans="1:7" ht="15" x14ac:dyDescent="0.3">
      <c r="A16" s="15">
        <v>9</v>
      </c>
      <c r="B16" s="16">
        <v>40850</v>
      </c>
      <c r="C16" s="33" t="s">
        <v>1651</v>
      </c>
      <c r="D16" s="18">
        <f t="shared" si="0"/>
        <v>40865</v>
      </c>
      <c r="E16" s="19" t="s">
        <v>233</v>
      </c>
      <c r="F16" s="19" t="s">
        <v>1649</v>
      </c>
      <c r="G16" s="21">
        <f>92+1.84</f>
        <v>93.84</v>
      </c>
    </row>
    <row r="17" spans="1:7" ht="15" x14ac:dyDescent="0.3">
      <c r="A17" s="15">
        <v>10</v>
      </c>
      <c r="B17" s="16">
        <v>40845</v>
      </c>
      <c r="C17" s="33" t="s">
        <v>1652</v>
      </c>
      <c r="D17" s="18">
        <f t="shared" si="0"/>
        <v>40860</v>
      </c>
      <c r="E17" s="19" t="s">
        <v>233</v>
      </c>
      <c r="F17" s="19" t="s">
        <v>1649</v>
      </c>
      <c r="G17" s="21">
        <f>92+1.84</f>
        <v>93.84</v>
      </c>
    </row>
    <row r="18" spans="1:7" ht="15" x14ac:dyDescent="0.3">
      <c r="A18" s="15">
        <v>11</v>
      </c>
      <c r="B18" s="16">
        <v>40838</v>
      </c>
      <c r="C18" s="33" t="s">
        <v>1653</v>
      </c>
      <c r="D18" s="18">
        <f t="shared" si="0"/>
        <v>40853</v>
      </c>
      <c r="E18" s="19" t="s">
        <v>233</v>
      </c>
      <c r="F18" s="19" t="s">
        <v>1649</v>
      </c>
      <c r="G18" s="21">
        <v>46.92</v>
      </c>
    </row>
    <row r="19" spans="1:7" ht="15" x14ac:dyDescent="0.3">
      <c r="A19" s="15">
        <v>12</v>
      </c>
      <c r="B19" s="16">
        <v>40829</v>
      </c>
      <c r="C19" s="33" t="s">
        <v>1654</v>
      </c>
      <c r="D19" s="18">
        <f t="shared" si="0"/>
        <v>40844</v>
      </c>
      <c r="E19" s="19" t="s">
        <v>233</v>
      </c>
      <c r="F19" s="19" t="s">
        <v>1649</v>
      </c>
      <c r="G19" s="21">
        <f>138+2.76</f>
        <v>140.76</v>
      </c>
    </row>
    <row r="20" spans="1:7" ht="15" x14ac:dyDescent="0.3">
      <c r="A20" s="15">
        <v>13</v>
      </c>
      <c r="B20" s="16">
        <v>40841</v>
      </c>
      <c r="C20" s="33" t="s">
        <v>1655</v>
      </c>
      <c r="D20" s="18">
        <f t="shared" si="0"/>
        <v>40856</v>
      </c>
      <c r="E20" s="19" t="s">
        <v>233</v>
      </c>
      <c r="F20" s="19" t="s">
        <v>1649</v>
      </c>
      <c r="G20" s="21">
        <v>46.92</v>
      </c>
    </row>
    <row r="21" spans="1:7" ht="15" x14ac:dyDescent="0.3">
      <c r="A21" s="15">
        <v>14</v>
      </c>
      <c r="B21" s="16">
        <v>40857</v>
      </c>
      <c r="C21" s="33" t="s">
        <v>1656</v>
      </c>
      <c r="D21" s="18">
        <f t="shared" si="0"/>
        <v>40872</v>
      </c>
      <c r="E21" s="19" t="s">
        <v>233</v>
      </c>
      <c r="F21" s="19" t="s">
        <v>1649</v>
      </c>
      <c r="G21" s="21">
        <v>46.92</v>
      </c>
    </row>
    <row r="22" spans="1:7" ht="15" x14ac:dyDescent="0.3">
      <c r="A22" s="15">
        <v>15</v>
      </c>
      <c r="B22" s="16">
        <v>40857</v>
      </c>
      <c r="C22" s="33" t="s">
        <v>1657</v>
      </c>
      <c r="D22" s="18">
        <f t="shared" si="0"/>
        <v>40872</v>
      </c>
      <c r="E22" s="19" t="s">
        <v>233</v>
      </c>
      <c r="F22" s="19" t="s">
        <v>1649</v>
      </c>
      <c r="G22" s="21">
        <f>92+1.84</f>
        <v>93.84</v>
      </c>
    </row>
    <row r="23" spans="1:7" ht="15" x14ac:dyDescent="0.3">
      <c r="A23" s="15">
        <v>16</v>
      </c>
      <c r="B23" s="16">
        <v>40863</v>
      </c>
      <c r="C23" s="33" t="s">
        <v>1658</v>
      </c>
      <c r="D23" s="18">
        <f t="shared" si="0"/>
        <v>40878</v>
      </c>
      <c r="E23" s="19" t="s">
        <v>55</v>
      </c>
      <c r="F23" s="19" t="s">
        <v>1659</v>
      </c>
      <c r="G23" s="21">
        <v>1453.5</v>
      </c>
    </row>
    <row r="24" spans="1:7" ht="30" x14ac:dyDescent="0.3">
      <c r="A24" s="15">
        <v>17</v>
      </c>
      <c r="B24" s="16">
        <v>40851</v>
      </c>
      <c r="C24" s="33" t="s">
        <v>1660</v>
      </c>
      <c r="D24" s="18">
        <v>40877</v>
      </c>
      <c r="E24" s="19" t="s">
        <v>67</v>
      </c>
      <c r="F24" s="19" t="s">
        <v>1661</v>
      </c>
      <c r="G24" s="21">
        <v>2091.66</v>
      </c>
    </row>
    <row r="25" spans="1:7" ht="30" x14ac:dyDescent="0.3">
      <c r="A25" s="15">
        <v>18</v>
      </c>
      <c r="B25" s="16">
        <v>40836</v>
      </c>
      <c r="C25" s="33" t="s">
        <v>1662</v>
      </c>
      <c r="D25" s="18">
        <f>+B25</f>
        <v>40836</v>
      </c>
      <c r="E25" s="19" t="s">
        <v>67</v>
      </c>
      <c r="F25" s="19" t="s">
        <v>1663</v>
      </c>
      <c r="G25" s="21">
        <v>-232.4</v>
      </c>
    </row>
    <row r="26" spans="1:7" ht="30" x14ac:dyDescent="0.3">
      <c r="A26" s="15">
        <v>19</v>
      </c>
      <c r="B26" s="16">
        <v>40863</v>
      </c>
      <c r="C26" s="33" t="s">
        <v>1664</v>
      </c>
      <c r="D26" s="18">
        <f>+B26</f>
        <v>40863</v>
      </c>
      <c r="E26" s="19" t="s">
        <v>88</v>
      </c>
      <c r="F26" s="19" t="s">
        <v>1665</v>
      </c>
      <c r="G26" s="21">
        <v>6655.5</v>
      </c>
    </row>
    <row r="27" spans="1:7" ht="15" x14ac:dyDescent="0.2">
      <c r="A27" s="22"/>
      <c r="B27" s="22"/>
      <c r="C27" s="23"/>
      <c r="D27" s="24"/>
      <c r="E27" s="25"/>
      <c r="F27" s="26" t="s">
        <v>24</v>
      </c>
      <c r="G27" s="36">
        <f>SUM(G8:G26)</f>
        <v>15475.28</v>
      </c>
    </row>
    <row r="31" spans="1:7" ht="15" x14ac:dyDescent="0.3">
      <c r="A31" s="29"/>
      <c r="B31" s="30"/>
      <c r="C31" s="37"/>
      <c r="D31" s="30"/>
      <c r="E31" s="5"/>
      <c r="F31" s="6"/>
      <c r="G31" s="6"/>
    </row>
    <row r="32" spans="1:7" ht="18.75" x14ac:dyDescent="0.3">
      <c r="A32" s="31" t="s">
        <v>1</v>
      </c>
      <c r="B32" s="29"/>
      <c r="C32" s="37"/>
      <c r="D32" s="30"/>
      <c r="E32" s="5"/>
      <c r="F32" s="29"/>
      <c r="G32" s="29"/>
    </row>
    <row r="33" spans="1:8" ht="15" x14ac:dyDescent="0.3">
      <c r="A33" s="29"/>
      <c r="B33" s="30"/>
      <c r="C33" s="37"/>
      <c r="D33" s="30"/>
      <c r="E33" s="5"/>
      <c r="F33" s="5"/>
      <c r="G33" s="32"/>
    </row>
    <row r="34" spans="1:8" ht="15" x14ac:dyDescent="0.3">
      <c r="A34" s="29"/>
      <c r="B34" s="30"/>
      <c r="C34" s="37"/>
      <c r="D34" s="30"/>
      <c r="E34" s="5"/>
      <c r="F34" s="5"/>
      <c r="G34" s="32"/>
    </row>
    <row r="35" spans="1:8" ht="18" x14ac:dyDescent="0.25">
      <c r="A35" s="208" t="s">
        <v>1666</v>
      </c>
      <c r="B35" s="208"/>
      <c r="C35" s="208"/>
      <c r="D35" s="208"/>
      <c r="E35" s="208"/>
      <c r="F35" s="208"/>
      <c r="G35" s="208"/>
    </row>
    <row r="36" spans="1:8" ht="15" x14ac:dyDescent="0.3">
      <c r="A36" s="29"/>
      <c r="B36" s="9"/>
      <c r="C36" s="9"/>
      <c r="D36" s="9"/>
      <c r="E36" s="9"/>
      <c r="F36" s="10"/>
      <c r="G36" s="11"/>
    </row>
    <row r="37" spans="1:8" x14ac:dyDescent="0.2">
      <c r="A37" s="12" t="s">
        <v>2</v>
      </c>
      <c r="B37" s="12" t="s">
        <v>3</v>
      </c>
      <c r="C37" s="13" t="s">
        <v>4</v>
      </c>
      <c r="D37" s="14" t="s">
        <v>25</v>
      </c>
      <c r="E37" s="13" t="s">
        <v>6</v>
      </c>
      <c r="F37" s="13" t="s">
        <v>7</v>
      </c>
      <c r="G37" s="13" t="s">
        <v>32</v>
      </c>
    </row>
    <row r="38" spans="1:8" ht="45" x14ac:dyDescent="0.3">
      <c r="A38" s="15">
        <v>1</v>
      </c>
      <c r="B38" s="16">
        <v>40876</v>
      </c>
      <c r="C38" s="33" t="s">
        <v>29</v>
      </c>
      <c r="D38" s="18" t="s">
        <v>1667</v>
      </c>
      <c r="E38" s="19" t="s">
        <v>121</v>
      </c>
      <c r="F38" s="19" t="s">
        <v>1668</v>
      </c>
      <c r="G38" s="21">
        <f>8969+5812</f>
        <v>14781</v>
      </c>
      <c r="H38" t="s">
        <v>27</v>
      </c>
    </row>
    <row r="39" spans="1:8" ht="45" x14ac:dyDescent="0.3">
      <c r="A39" s="15">
        <v>2</v>
      </c>
      <c r="B39" s="16">
        <v>40876</v>
      </c>
      <c r="C39" s="33" t="s">
        <v>29</v>
      </c>
      <c r="D39" s="18" t="s">
        <v>1669</v>
      </c>
      <c r="E39" s="19" t="s">
        <v>121</v>
      </c>
      <c r="F39" s="19" t="s">
        <v>1670</v>
      </c>
      <c r="G39" s="21">
        <f>210+4</f>
        <v>214</v>
      </c>
      <c r="H39" t="s">
        <v>27</v>
      </c>
    </row>
    <row r="40" spans="1:8" ht="45" x14ac:dyDescent="0.3">
      <c r="A40" s="15">
        <v>3</v>
      </c>
      <c r="B40" s="16">
        <v>40876</v>
      </c>
      <c r="C40" s="33" t="s">
        <v>29</v>
      </c>
      <c r="D40" s="18" t="s">
        <v>1671</v>
      </c>
      <c r="E40" s="19" t="s">
        <v>121</v>
      </c>
      <c r="F40" s="19" t="s">
        <v>1672</v>
      </c>
      <c r="G40" s="21">
        <v>364</v>
      </c>
      <c r="H40" t="s">
        <v>27</v>
      </c>
    </row>
    <row r="41" spans="1:8" ht="45" x14ac:dyDescent="0.3">
      <c r="A41" s="15">
        <v>4</v>
      </c>
      <c r="B41" s="16">
        <v>40876</v>
      </c>
      <c r="C41" s="33" t="s">
        <v>29</v>
      </c>
      <c r="D41" s="18" t="s">
        <v>1673</v>
      </c>
      <c r="E41" s="19" t="s">
        <v>121</v>
      </c>
      <c r="F41" s="19" t="s">
        <v>1674</v>
      </c>
      <c r="G41" s="21">
        <f>32711+196</f>
        <v>32907</v>
      </c>
      <c r="H41" t="s">
        <v>27</v>
      </c>
    </row>
    <row r="42" spans="1:8" ht="45" x14ac:dyDescent="0.3">
      <c r="A42" s="15">
        <v>5</v>
      </c>
      <c r="B42" s="16">
        <v>40876</v>
      </c>
      <c r="C42" s="33" t="s">
        <v>29</v>
      </c>
      <c r="D42" s="18" t="s">
        <v>1675</v>
      </c>
      <c r="E42" s="19" t="s">
        <v>121</v>
      </c>
      <c r="F42" s="19" t="s">
        <v>1676</v>
      </c>
      <c r="G42" s="21">
        <v>1644</v>
      </c>
      <c r="H42" t="s">
        <v>27</v>
      </c>
    </row>
    <row r="43" spans="1:8" ht="75" x14ac:dyDescent="0.3">
      <c r="A43" s="15">
        <v>6</v>
      </c>
      <c r="B43" s="16">
        <v>40873</v>
      </c>
      <c r="C43" s="33" t="s">
        <v>29</v>
      </c>
      <c r="D43" s="18" t="s">
        <v>1677</v>
      </c>
      <c r="E43" s="19" t="s">
        <v>1678</v>
      </c>
      <c r="F43" s="20" t="s">
        <v>1679</v>
      </c>
      <c r="G43" s="21">
        <f>595+514.79-1109.79</f>
        <v>0</v>
      </c>
      <c r="H43" t="s">
        <v>126</v>
      </c>
    </row>
    <row r="44" spans="1:8" ht="30" x14ac:dyDescent="0.3">
      <c r="A44" s="15">
        <v>7</v>
      </c>
      <c r="B44" s="16">
        <v>40875</v>
      </c>
      <c r="C44" s="33" t="s">
        <v>29</v>
      </c>
      <c r="D44" s="18" t="s">
        <v>1680</v>
      </c>
      <c r="E44" s="19" t="s">
        <v>1681</v>
      </c>
      <c r="F44" s="19" t="s">
        <v>1682</v>
      </c>
      <c r="G44" s="21">
        <v>5000</v>
      </c>
      <c r="H44" t="s">
        <v>27</v>
      </c>
    </row>
    <row r="45" spans="1:8" ht="30" x14ac:dyDescent="0.3">
      <c r="A45" s="15">
        <v>8</v>
      </c>
      <c r="B45" s="16">
        <v>40865</v>
      </c>
      <c r="C45" s="33" t="s">
        <v>1683</v>
      </c>
      <c r="D45" s="18" t="s">
        <v>1684</v>
      </c>
      <c r="E45" s="19" t="s">
        <v>1685</v>
      </c>
      <c r="F45" s="19" t="s">
        <v>1686</v>
      </c>
      <c r="G45" s="21">
        <f>323.95+60.5+175</f>
        <v>559.45000000000005</v>
      </c>
      <c r="H45" t="s">
        <v>27</v>
      </c>
    </row>
    <row r="46" spans="1:8" ht="45" x14ac:dyDescent="0.3">
      <c r="A46" s="15">
        <v>9</v>
      </c>
      <c r="B46" s="16">
        <v>40854</v>
      </c>
      <c r="C46" s="33" t="s">
        <v>1687</v>
      </c>
      <c r="D46" s="18" t="s">
        <v>1688</v>
      </c>
      <c r="E46" s="19" t="s">
        <v>1689</v>
      </c>
      <c r="F46" s="19" t="s">
        <v>1690</v>
      </c>
      <c r="G46" s="21">
        <f>2180.64+1090.32</f>
        <v>3270.96</v>
      </c>
      <c r="H46" t="s">
        <v>27</v>
      </c>
    </row>
    <row r="47" spans="1:8" ht="30" x14ac:dyDescent="0.3">
      <c r="A47" s="15">
        <v>10</v>
      </c>
      <c r="B47" s="16">
        <v>40876</v>
      </c>
      <c r="C47" s="33" t="s">
        <v>1691</v>
      </c>
      <c r="D47" s="18" t="s">
        <v>1692</v>
      </c>
      <c r="E47" s="19" t="s">
        <v>1398</v>
      </c>
      <c r="F47" s="19" t="s">
        <v>96</v>
      </c>
      <c r="G47" s="21">
        <v>419.6</v>
      </c>
      <c r="H47" t="s">
        <v>27</v>
      </c>
    </row>
    <row r="48" spans="1:8" ht="30" x14ac:dyDescent="0.3">
      <c r="A48" s="15">
        <v>11</v>
      </c>
      <c r="B48" s="16">
        <v>40879</v>
      </c>
      <c r="C48" s="33" t="s">
        <v>1693</v>
      </c>
      <c r="D48" s="18" t="s">
        <v>1694</v>
      </c>
      <c r="E48" s="19" t="s">
        <v>515</v>
      </c>
      <c r="F48" s="19" t="s">
        <v>303</v>
      </c>
      <c r="G48" s="21">
        <v>165.2</v>
      </c>
      <c r="H48" t="s">
        <v>27</v>
      </c>
    </row>
    <row r="49" spans="1:8" ht="30" x14ac:dyDescent="0.3">
      <c r="A49" s="15">
        <v>12</v>
      </c>
      <c r="B49" s="16">
        <v>40869</v>
      </c>
      <c r="C49" s="33" t="s">
        <v>1695</v>
      </c>
      <c r="D49" s="18" t="s">
        <v>1696</v>
      </c>
      <c r="E49" s="19" t="s">
        <v>1697</v>
      </c>
      <c r="F49" s="19" t="s">
        <v>96</v>
      </c>
      <c r="G49" s="21">
        <v>453.12</v>
      </c>
      <c r="H49" t="s">
        <v>27</v>
      </c>
    </row>
    <row r="50" spans="1:8" ht="30" x14ac:dyDescent="0.3">
      <c r="A50" s="15">
        <v>13</v>
      </c>
      <c r="B50" s="16">
        <v>40875</v>
      </c>
      <c r="C50" s="33" t="s">
        <v>1406</v>
      </c>
      <c r="D50" s="18" t="s">
        <v>1698</v>
      </c>
      <c r="E50" s="19" t="s">
        <v>341</v>
      </c>
      <c r="F50" s="19" t="s">
        <v>1699</v>
      </c>
      <c r="G50" s="21">
        <v>2775.14</v>
      </c>
      <c r="H50" t="s">
        <v>27</v>
      </c>
    </row>
    <row r="51" spans="1:8" ht="75" x14ac:dyDescent="0.3">
      <c r="A51" s="15">
        <v>14</v>
      </c>
      <c r="B51" s="16">
        <v>40869</v>
      </c>
      <c r="C51" s="33" t="s">
        <v>1700</v>
      </c>
      <c r="D51" s="18" t="s">
        <v>1701</v>
      </c>
      <c r="E51" s="19" t="s">
        <v>276</v>
      </c>
      <c r="F51" s="19" t="s">
        <v>1702</v>
      </c>
      <c r="G51" s="21">
        <f>198.6+259.75+118.9+126.5+228.05</f>
        <v>931.8</v>
      </c>
      <c r="H51" t="s">
        <v>27</v>
      </c>
    </row>
    <row r="52" spans="1:8" ht="45" x14ac:dyDescent="0.3">
      <c r="A52" s="15">
        <v>15</v>
      </c>
      <c r="B52" s="16">
        <v>40869</v>
      </c>
      <c r="C52" s="33" t="s">
        <v>1703</v>
      </c>
      <c r="D52" s="18" t="s">
        <v>1704</v>
      </c>
      <c r="E52" s="19" t="s">
        <v>1563</v>
      </c>
      <c r="F52" s="19" t="s">
        <v>1705</v>
      </c>
      <c r="G52" s="21">
        <f>6850.87+747.38</f>
        <v>7598.25</v>
      </c>
      <c r="H52" t="s">
        <v>27</v>
      </c>
    </row>
    <row r="53" spans="1:8" ht="45" x14ac:dyDescent="0.3">
      <c r="A53" s="15">
        <v>16</v>
      </c>
      <c r="B53" s="16">
        <v>40883</v>
      </c>
      <c r="C53" s="33" t="s">
        <v>1706</v>
      </c>
      <c r="D53" s="18" t="s">
        <v>1707</v>
      </c>
      <c r="E53" s="19" t="s">
        <v>131</v>
      </c>
      <c r="F53" s="19" t="s">
        <v>1708</v>
      </c>
      <c r="G53" s="21">
        <f>1776+4902.5</f>
        <v>6678.5</v>
      </c>
      <c r="H53" t="s">
        <v>27</v>
      </c>
    </row>
    <row r="54" spans="1:8" ht="15" x14ac:dyDescent="0.3">
      <c r="A54" s="29"/>
      <c r="B54" s="30"/>
      <c r="C54" s="37"/>
      <c r="D54" s="30"/>
      <c r="E54" s="5"/>
      <c r="F54" s="46" t="s">
        <v>24</v>
      </c>
      <c r="G54" s="36">
        <f>SUM(G38:G53)</f>
        <v>77762.01999999999</v>
      </c>
    </row>
    <row r="55" spans="1:8" x14ac:dyDescent="0.2">
      <c r="G55" s="104"/>
    </row>
    <row r="58" spans="1:8" ht="15" customHeight="1" x14ac:dyDescent="0.3">
      <c r="A58" s="29"/>
      <c r="B58" s="30"/>
      <c r="C58" s="37"/>
      <c r="D58" s="30"/>
      <c r="E58" s="5"/>
      <c r="F58" s="207" t="s">
        <v>0</v>
      </c>
      <c r="G58" s="207"/>
    </row>
    <row r="59" spans="1:8" ht="18.75" x14ac:dyDescent="0.3">
      <c r="A59" s="31" t="s">
        <v>1</v>
      </c>
      <c r="B59" s="29"/>
      <c r="C59" s="37"/>
      <c r="D59" s="30"/>
      <c r="E59" s="5"/>
      <c r="F59" s="29"/>
      <c r="G59" s="29"/>
    </row>
    <row r="60" spans="1:8" ht="15" x14ac:dyDescent="0.3">
      <c r="A60" s="29"/>
      <c r="B60" s="30"/>
      <c r="C60" s="37"/>
      <c r="D60" s="30"/>
      <c r="E60" s="5"/>
      <c r="F60" s="5"/>
      <c r="G60" s="32"/>
    </row>
    <row r="61" spans="1:8" ht="15" x14ac:dyDescent="0.3">
      <c r="A61" s="29"/>
      <c r="B61" s="30"/>
      <c r="C61" s="37"/>
      <c r="D61" s="30"/>
      <c r="E61" s="5"/>
      <c r="F61" s="5"/>
      <c r="G61" s="32"/>
    </row>
    <row r="62" spans="1:8" ht="18" x14ac:dyDescent="0.25">
      <c r="A62" s="208" t="s">
        <v>1709</v>
      </c>
      <c r="B62" s="208"/>
      <c r="C62" s="208"/>
      <c r="D62" s="208"/>
      <c r="E62" s="208"/>
      <c r="F62" s="208"/>
      <c r="G62" s="208"/>
    </row>
    <row r="63" spans="1:8" ht="18" x14ac:dyDescent="0.25">
      <c r="A63" s="208" t="s">
        <v>157</v>
      </c>
      <c r="B63" s="208"/>
      <c r="C63" s="208"/>
      <c r="D63" s="208"/>
      <c r="E63" s="208"/>
      <c r="F63" s="208"/>
      <c r="G63" s="208"/>
    </row>
    <row r="64" spans="1:8" ht="15" x14ac:dyDescent="0.3">
      <c r="A64" s="29"/>
      <c r="B64" s="9"/>
      <c r="C64" s="9"/>
      <c r="D64" s="9"/>
      <c r="E64" s="9"/>
      <c r="F64" s="10"/>
      <c r="G64" s="11"/>
    </row>
    <row r="65" spans="1:9" x14ac:dyDescent="0.2">
      <c r="A65" s="12" t="s">
        <v>2</v>
      </c>
      <c r="B65" s="12" t="s">
        <v>3</v>
      </c>
      <c r="C65" s="13" t="s">
        <v>4</v>
      </c>
      <c r="D65" s="14" t="s">
        <v>25</v>
      </c>
      <c r="E65" s="13" t="s">
        <v>6</v>
      </c>
      <c r="F65" s="13" t="s">
        <v>7</v>
      </c>
      <c r="G65" s="13" t="s">
        <v>32</v>
      </c>
      <c r="H65" s="13" t="s">
        <v>8</v>
      </c>
    </row>
    <row r="66" spans="1:9" ht="30" x14ac:dyDescent="0.3">
      <c r="A66" s="15">
        <v>1</v>
      </c>
      <c r="B66" s="16">
        <v>40910</v>
      </c>
      <c r="C66" s="17" t="s">
        <v>1406</v>
      </c>
      <c r="D66" s="18" t="s">
        <v>1710</v>
      </c>
      <c r="E66" s="19" t="s">
        <v>1711</v>
      </c>
      <c r="F66" s="19" t="s">
        <v>1712</v>
      </c>
      <c r="G66" s="21">
        <v>0</v>
      </c>
      <c r="H66" s="21">
        <v>100</v>
      </c>
      <c r="I66" t="s">
        <v>27</v>
      </c>
    </row>
    <row r="67" spans="1:9" ht="45" x14ac:dyDescent="0.3">
      <c r="A67" s="15">
        <v>2</v>
      </c>
      <c r="B67" s="16">
        <v>40875</v>
      </c>
      <c r="C67" s="17" t="s">
        <v>1406</v>
      </c>
      <c r="D67" s="18" t="s">
        <v>1713</v>
      </c>
      <c r="E67" s="19" t="s">
        <v>1711</v>
      </c>
      <c r="F67" s="19" t="s">
        <v>1714</v>
      </c>
      <c r="G67" s="21">
        <f>118+177</f>
        <v>295</v>
      </c>
      <c r="H67" s="21">
        <v>0</v>
      </c>
      <c r="I67" t="s">
        <v>27</v>
      </c>
    </row>
    <row r="68" spans="1:9" ht="15" x14ac:dyDescent="0.3">
      <c r="A68" s="29"/>
      <c r="B68" s="30"/>
      <c r="C68" s="37"/>
      <c r="D68" s="30"/>
      <c r="E68" s="5"/>
      <c r="F68" s="46" t="s">
        <v>24</v>
      </c>
      <c r="G68" s="36">
        <f>SUM(G66:G67)</f>
        <v>295</v>
      </c>
      <c r="H68" s="27">
        <f>SUM(H66:H67)</f>
        <v>100</v>
      </c>
    </row>
    <row r="73" spans="1:9" ht="15" customHeight="1" x14ac:dyDescent="0.3">
      <c r="A73" s="29"/>
      <c r="B73" s="30"/>
      <c r="C73" s="37"/>
      <c r="D73" s="30"/>
      <c r="E73" s="5"/>
      <c r="F73" s="207" t="s">
        <v>0</v>
      </c>
      <c r="G73" s="207"/>
    </row>
    <row r="74" spans="1:9" ht="18.75" x14ac:dyDescent="0.3">
      <c r="A74" s="31" t="s">
        <v>1</v>
      </c>
      <c r="B74" s="29"/>
      <c r="C74" s="37"/>
      <c r="D74" s="30"/>
      <c r="E74" s="5"/>
      <c r="F74" s="29"/>
      <c r="G74" s="29"/>
    </row>
    <row r="75" spans="1:9" ht="15" x14ac:dyDescent="0.3">
      <c r="A75" s="29"/>
      <c r="B75" s="30"/>
      <c r="C75" s="37"/>
      <c r="D75" s="30"/>
      <c r="E75" s="5"/>
      <c r="F75" s="5"/>
      <c r="G75" s="32"/>
    </row>
    <row r="76" spans="1:9" ht="18" x14ac:dyDescent="0.25">
      <c r="A76" s="208" t="s">
        <v>1715</v>
      </c>
      <c r="B76" s="208"/>
      <c r="C76" s="208"/>
      <c r="D76" s="208"/>
      <c r="E76" s="208"/>
      <c r="F76" s="208"/>
      <c r="G76" s="208"/>
    </row>
    <row r="77" spans="1:9" ht="15" x14ac:dyDescent="0.3">
      <c r="A77" s="29"/>
      <c r="B77" s="9"/>
      <c r="C77" s="9"/>
      <c r="D77" s="9"/>
      <c r="E77" s="9"/>
      <c r="F77" s="10"/>
      <c r="G77" s="11"/>
    </row>
    <row r="78" spans="1:9" x14ac:dyDescent="0.2">
      <c r="A78" s="12" t="s">
        <v>2</v>
      </c>
      <c r="B78" s="12" t="s">
        <v>3</v>
      </c>
      <c r="C78" s="13" t="s">
        <v>4</v>
      </c>
      <c r="D78" s="14" t="s">
        <v>5</v>
      </c>
      <c r="E78" s="13" t="s">
        <v>6</v>
      </c>
      <c r="F78" s="13" t="s">
        <v>146</v>
      </c>
      <c r="G78" s="13" t="s">
        <v>32</v>
      </c>
    </row>
    <row r="79" spans="1:9" ht="15" x14ac:dyDescent="0.3">
      <c r="A79" s="15">
        <v>1</v>
      </c>
      <c r="B79" s="16">
        <v>40850</v>
      </c>
      <c r="C79" s="17" t="s">
        <v>1716</v>
      </c>
      <c r="D79" s="18">
        <f>+B79+30</f>
        <v>40880</v>
      </c>
      <c r="E79" s="19" t="s">
        <v>1423</v>
      </c>
      <c r="F79" s="19" t="s">
        <v>306</v>
      </c>
      <c r="G79" s="21">
        <v>61794.239999999998</v>
      </c>
      <c r="H79" s="45" t="s">
        <v>1717</v>
      </c>
      <c r="I79" t="s">
        <v>27</v>
      </c>
    </row>
    <row r="80" spans="1:9" ht="15" x14ac:dyDescent="0.3">
      <c r="A80" s="29"/>
      <c r="B80" s="30"/>
      <c r="C80" s="37"/>
      <c r="D80" s="30"/>
      <c r="E80" s="5"/>
      <c r="F80" s="46" t="s">
        <v>24</v>
      </c>
      <c r="G80" s="36">
        <f>+G79</f>
        <v>61794.239999999998</v>
      </c>
    </row>
  </sheetData>
  <sheetProtection selectLockedCells="1" selectUnlockedCells="1"/>
  <mergeCells count="8">
    <mergeCell ref="F73:G73"/>
    <mergeCell ref="A76:G76"/>
    <mergeCell ref="F1:G1"/>
    <mergeCell ref="A5:G5"/>
    <mergeCell ref="A35:G35"/>
    <mergeCell ref="F58:G58"/>
    <mergeCell ref="A62:G62"/>
    <mergeCell ref="A63:G63"/>
  </mergeCells>
  <printOptions horizontalCentered="1"/>
  <pageMargins left="0" right="0" top="0.74791666666666667" bottom="0.74791666666666667" header="0.51180555555555551" footer="0.51180555555555551"/>
  <pageSetup paperSize="9" scale="75" firstPageNumber="0" orientation="portrait" horizontalDpi="300" verticalDpi="300" r:id="rId1"/>
  <headerFooter alignWithMargins="0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pageSetUpPr fitToPage="1"/>
  </sheetPr>
  <dimension ref="A1:I39"/>
  <sheetViews>
    <sheetView topLeftCell="A13" workbookViewId="0">
      <selection activeCell="A37" sqref="A37"/>
    </sheetView>
  </sheetViews>
  <sheetFormatPr baseColWidth="10" defaultColWidth="10.7109375" defaultRowHeight="12.75" x14ac:dyDescent="0.2"/>
  <cols>
    <col min="1" max="1" width="3.85546875" customWidth="1"/>
    <col min="2" max="2" width="13.85546875" customWidth="1"/>
    <col min="3" max="3" width="15.5703125" customWidth="1"/>
    <col min="4" max="4" width="14.42578125" customWidth="1"/>
    <col min="5" max="5" width="28.5703125" customWidth="1"/>
    <col min="6" max="6" width="27.5703125" customWidth="1"/>
    <col min="7" max="7" width="12" customWidth="1"/>
    <col min="8" max="8" width="13.5703125" customWidth="1"/>
  </cols>
  <sheetData>
    <row r="1" spans="1:9" ht="15" customHeight="1" x14ac:dyDescent="0.3">
      <c r="A1" s="1"/>
      <c r="B1" s="2"/>
      <c r="C1" s="3"/>
      <c r="D1" s="4"/>
      <c r="E1" s="5"/>
      <c r="F1" s="207" t="s">
        <v>0</v>
      </c>
      <c r="G1" s="207"/>
    </row>
    <row r="2" spans="1:9" ht="18.75" x14ac:dyDescent="0.3">
      <c r="A2" s="7" t="s">
        <v>1</v>
      </c>
      <c r="B2" s="7"/>
      <c r="C2" s="3"/>
      <c r="D2" s="4"/>
      <c r="E2" s="5"/>
      <c r="F2" s="5"/>
      <c r="G2" s="8"/>
    </row>
    <row r="3" spans="1:9" ht="15" x14ac:dyDescent="0.3">
      <c r="A3" s="1"/>
      <c r="B3" s="2"/>
      <c r="C3" s="3"/>
      <c r="D3" s="4"/>
      <c r="E3" s="5"/>
      <c r="F3" s="5"/>
      <c r="G3" s="8"/>
    </row>
    <row r="4" spans="1:9" ht="15" x14ac:dyDescent="0.3">
      <c r="A4" s="1"/>
      <c r="B4" s="2"/>
      <c r="C4" s="3"/>
      <c r="D4" s="4"/>
      <c r="E4" s="5"/>
      <c r="F4" s="5"/>
      <c r="G4" s="8"/>
    </row>
    <row r="5" spans="1:9" ht="18" x14ac:dyDescent="0.25">
      <c r="A5" s="208" t="s">
        <v>1718</v>
      </c>
      <c r="B5" s="208"/>
      <c r="C5" s="208"/>
      <c r="D5" s="208"/>
      <c r="E5" s="208"/>
      <c r="F5" s="208"/>
      <c r="G5" s="208"/>
    </row>
    <row r="6" spans="1:9" ht="15" x14ac:dyDescent="0.3">
      <c r="A6" s="1"/>
      <c r="B6" s="9"/>
      <c r="C6" s="9"/>
      <c r="D6" s="9"/>
      <c r="E6" s="9"/>
      <c r="F6" s="10"/>
      <c r="G6" s="11"/>
    </row>
    <row r="7" spans="1:9" x14ac:dyDescent="0.2">
      <c r="A7" s="12" t="s">
        <v>2</v>
      </c>
      <c r="B7" s="12" t="s">
        <v>3</v>
      </c>
      <c r="C7" s="13" t="s">
        <v>4</v>
      </c>
      <c r="D7" s="14" t="s">
        <v>5</v>
      </c>
      <c r="E7" s="13" t="s">
        <v>6</v>
      </c>
      <c r="F7" s="13" t="s">
        <v>7</v>
      </c>
      <c r="G7" s="13" t="s">
        <v>8</v>
      </c>
    </row>
    <row r="8" spans="1:9" ht="45" x14ac:dyDescent="0.3">
      <c r="A8" s="52">
        <v>1</v>
      </c>
      <c r="B8" s="53">
        <v>40848</v>
      </c>
      <c r="C8" s="17" t="s">
        <v>1719</v>
      </c>
      <c r="D8" s="96">
        <f>+B8+30</f>
        <v>40878</v>
      </c>
      <c r="E8" s="19" t="s">
        <v>15</v>
      </c>
      <c r="F8" s="20" t="s">
        <v>1720</v>
      </c>
      <c r="G8" s="21">
        <v>886.6</v>
      </c>
    </row>
    <row r="9" spans="1:9" ht="45" x14ac:dyDescent="0.3">
      <c r="A9" s="15">
        <v>2</v>
      </c>
      <c r="B9" s="53">
        <v>40848</v>
      </c>
      <c r="C9" s="17" t="s">
        <v>1721</v>
      </c>
      <c r="D9" s="96">
        <f>+B9+30</f>
        <v>40878</v>
      </c>
      <c r="E9" s="19" t="s">
        <v>15</v>
      </c>
      <c r="F9" s="20" t="s">
        <v>1722</v>
      </c>
      <c r="G9" s="21">
        <v>374</v>
      </c>
      <c r="H9" s="105"/>
      <c r="I9" s="60"/>
    </row>
    <row r="10" spans="1:9" ht="15" x14ac:dyDescent="0.2">
      <c r="A10" s="22"/>
      <c r="B10" s="22"/>
      <c r="C10" s="23"/>
      <c r="D10" s="24"/>
      <c r="E10" s="25"/>
      <c r="F10" s="26" t="s">
        <v>24</v>
      </c>
      <c r="G10" s="27">
        <f>SUM(G8:G9)</f>
        <v>1260.5999999999999</v>
      </c>
    </row>
    <row r="15" spans="1:9" x14ac:dyDescent="0.2">
      <c r="B15" s="35"/>
    </row>
    <row r="17" spans="1:8" ht="15" customHeight="1" x14ac:dyDescent="0.3">
      <c r="A17" s="29"/>
      <c r="B17" s="30"/>
      <c r="C17" s="37"/>
      <c r="D17" s="30"/>
      <c r="E17" s="5"/>
      <c r="F17" s="207" t="s">
        <v>0</v>
      </c>
      <c r="G17" s="207"/>
    </row>
    <row r="18" spans="1:8" ht="18.75" x14ac:dyDescent="0.3">
      <c r="A18" s="31" t="s">
        <v>1</v>
      </c>
      <c r="B18" s="29"/>
      <c r="C18" s="37"/>
      <c r="D18" s="30"/>
      <c r="E18" s="5"/>
      <c r="F18" s="29"/>
      <c r="G18" s="29"/>
    </row>
    <row r="19" spans="1:8" ht="15" x14ac:dyDescent="0.3">
      <c r="A19" s="29"/>
      <c r="B19" s="30"/>
      <c r="C19" s="37"/>
      <c r="D19" s="30"/>
      <c r="E19" s="5"/>
      <c r="F19" s="5"/>
      <c r="G19" s="32"/>
    </row>
    <row r="20" spans="1:8" ht="15" x14ac:dyDescent="0.3">
      <c r="A20" s="29"/>
      <c r="B20" s="30"/>
      <c r="C20" s="37"/>
      <c r="D20" s="30"/>
      <c r="E20" s="5"/>
      <c r="F20" s="5"/>
      <c r="G20" s="32"/>
    </row>
    <row r="21" spans="1:8" ht="18" x14ac:dyDescent="0.25">
      <c r="A21" s="208" t="s">
        <v>1723</v>
      </c>
      <c r="B21" s="208"/>
      <c r="C21" s="208"/>
      <c r="D21" s="208"/>
      <c r="E21" s="208"/>
      <c r="F21" s="208"/>
      <c r="G21" s="208"/>
    </row>
    <row r="22" spans="1:8" ht="15" x14ac:dyDescent="0.3">
      <c r="A22" s="29"/>
      <c r="B22" s="9"/>
      <c r="C22" s="9"/>
      <c r="D22" s="9"/>
      <c r="E22" s="9"/>
      <c r="F22" s="10"/>
      <c r="G22" s="11"/>
    </row>
    <row r="23" spans="1:8" x14ac:dyDescent="0.2">
      <c r="A23" s="12" t="s">
        <v>2</v>
      </c>
      <c r="B23" s="12" t="s">
        <v>3</v>
      </c>
      <c r="C23" s="13" t="s">
        <v>4</v>
      </c>
      <c r="D23" s="14" t="s">
        <v>25</v>
      </c>
      <c r="E23" s="13" t="s">
        <v>6</v>
      </c>
      <c r="F23" s="13" t="s">
        <v>7</v>
      </c>
      <c r="G23" s="13" t="s">
        <v>8</v>
      </c>
    </row>
    <row r="24" spans="1:8" ht="30" x14ac:dyDescent="0.3">
      <c r="A24" s="52">
        <v>1</v>
      </c>
      <c r="B24" s="53">
        <v>40862</v>
      </c>
      <c r="C24" s="17" t="s">
        <v>1724</v>
      </c>
      <c r="D24" s="18" t="s">
        <v>1725</v>
      </c>
      <c r="E24" s="19" t="s">
        <v>1726</v>
      </c>
      <c r="F24" s="20" t="s">
        <v>1727</v>
      </c>
      <c r="G24" s="21">
        <v>182.13</v>
      </c>
      <c r="H24" t="s">
        <v>27</v>
      </c>
    </row>
    <row r="25" spans="1:8" ht="60" x14ac:dyDescent="0.3">
      <c r="A25" s="52"/>
      <c r="B25" s="53">
        <v>40873</v>
      </c>
      <c r="C25" s="17" t="s">
        <v>29</v>
      </c>
      <c r="D25" s="18" t="s">
        <v>1728</v>
      </c>
      <c r="E25" s="19" t="s">
        <v>1678</v>
      </c>
      <c r="F25" s="20" t="s">
        <v>1729</v>
      </c>
      <c r="G25" s="21">
        <f>706.64+1603.44-2310.08</f>
        <v>0</v>
      </c>
      <c r="H25" t="s">
        <v>126</v>
      </c>
    </row>
    <row r="26" spans="1:8" ht="30" x14ac:dyDescent="0.3">
      <c r="A26" s="52">
        <v>2</v>
      </c>
      <c r="B26" s="53">
        <v>40882</v>
      </c>
      <c r="C26" s="17" t="s">
        <v>1730</v>
      </c>
      <c r="D26" s="18" t="s">
        <v>1731</v>
      </c>
      <c r="E26" s="19" t="s">
        <v>1732</v>
      </c>
      <c r="F26" s="20" t="s">
        <v>249</v>
      </c>
      <c r="G26" s="21">
        <v>960.88</v>
      </c>
      <c r="H26" t="s">
        <v>27</v>
      </c>
    </row>
    <row r="27" spans="1:8" ht="15" x14ac:dyDescent="0.3">
      <c r="A27" s="29"/>
      <c r="B27" s="30"/>
      <c r="C27" s="37"/>
      <c r="D27" s="30"/>
      <c r="E27" s="5"/>
      <c r="F27" s="46" t="s">
        <v>24</v>
      </c>
      <c r="G27" s="103">
        <f>SUM(G24:G26)</f>
        <v>1143.01</v>
      </c>
    </row>
    <row r="31" spans="1:8" ht="15" customHeight="1" x14ac:dyDescent="0.3">
      <c r="A31" s="29"/>
      <c r="B31" s="30"/>
      <c r="C31" s="37"/>
      <c r="D31" s="30"/>
      <c r="E31" s="5"/>
      <c r="F31" s="207" t="s">
        <v>0</v>
      </c>
      <c r="G31" s="207"/>
    </row>
    <row r="32" spans="1:8" ht="18.75" x14ac:dyDescent="0.3">
      <c r="A32" s="31" t="s">
        <v>1</v>
      </c>
      <c r="B32" s="29"/>
      <c r="C32" s="37"/>
      <c r="D32" s="30"/>
      <c r="E32" s="5"/>
      <c r="F32" s="29"/>
      <c r="G32" s="29"/>
    </row>
    <row r="33" spans="1:9" ht="15" x14ac:dyDescent="0.3">
      <c r="A33" s="29"/>
      <c r="B33" s="30"/>
      <c r="C33" s="37"/>
      <c r="D33" s="30"/>
      <c r="E33" s="5"/>
      <c r="F33" s="5"/>
      <c r="G33" s="32"/>
    </row>
    <row r="34" spans="1:9" ht="18" x14ac:dyDescent="0.25">
      <c r="A34" s="208" t="s">
        <v>1733</v>
      </c>
      <c r="B34" s="208"/>
      <c r="C34" s="208"/>
      <c r="D34" s="208"/>
      <c r="E34" s="208"/>
      <c r="F34" s="208"/>
      <c r="G34" s="208"/>
    </row>
    <row r="35" spans="1:9" ht="15" x14ac:dyDescent="0.3">
      <c r="A35" s="29"/>
      <c r="B35" s="9"/>
      <c r="C35" s="9"/>
      <c r="D35" s="9"/>
      <c r="E35" s="9"/>
      <c r="F35" s="10"/>
      <c r="G35" s="11"/>
    </row>
    <row r="36" spans="1:9" x14ac:dyDescent="0.2">
      <c r="A36" s="12" t="s">
        <v>2</v>
      </c>
      <c r="B36" s="12" t="s">
        <v>3</v>
      </c>
      <c r="C36" s="13" t="s">
        <v>4</v>
      </c>
      <c r="D36" s="14" t="s">
        <v>5</v>
      </c>
      <c r="E36" s="13" t="s">
        <v>6</v>
      </c>
      <c r="F36" s="13" t="s">
        <v>146</v>
      </c>
      <c r="G36" s="13" t="s">
        <v>8</v>
      </c>
    </row>
    <row r="37" spans="1:9" ht="15" x14ac:dyDescent="0.3">
      <c r="A37" s="15">
        <v>1</v>
      </c>
      <c r="B37" s="16">
        <v>40826</v>
      </c>
      <c r="C37" s="17" t="s">
        <v>1734</v>
      </c>
      <c r="D37" s="18">
        <v>40886</v>
      </c>
      <c r="E37" s="19" t="s">
        <v>1449</v>
      </c>
      <c r="F37" s="19" t="s">
        <v>306</v>
      </c>
      <c r="G37" s="21">
        <v>385.07</v>
      </c>
      <c r="H37" s="45" t="s">
        <v>1735</v>
      </c>
      <c r="I37" t="s">
        <v>27</v>
      </c>
    </row>
    <row r="38" spans="1:9" ht="15" x14ac:dyDescent="0.3">
      <c r="A38" s="15">
        <v>2</v>
      </c>
      <c r="B38" s="16">
        <v>40833</v>
      </c>
      <c r="C38" s="17" t="s">
        <v>1736</v>
      </c>
      <c r="D38" s="18">
        <v>40893</v>
      </c>
      <c r="E38" s="19" t="s">
        <v>1449</v>
      </c>
      <c r="F38" s="19" t="s">
        <v>306</v>
      </c>
      <c r="G38" s="21">
        <v>3339.7</v>
      </c>
      <c r="H38" s="45" t="s">
        <v>1737</v>
      </c>
      <c r="I38" t="s">
        <v>27</v>
      </c>
    </row>
    <row r="39" spans="1:9" ht="15" x14ac:dyDescent="0.3">
      <c r="A39" s="29"/>
      <c r="B39" s="30"/>
      <c r="C39" s="37"/>
      <c r="D39" s="30"/>
      <c r="E39" s="5"/>
      <c r="F39" s="46" t="s">
        <v>24</v>
      </c>
      <c r="G39" s="103">
        <f>SUM(G37:G38)</f>
        <v>3724.77</v>
      </c>
    </row>
  </sheetData>
  <sheetProtection selectLockedCells="1" selectUnlockedCells="1"/>
  <mergeCells count="6">
    <mergeCell ref="A34:G34"/>
    <mergeCell ref="F1:G1"/>
    <mergeCell ref="A5:G5"/>
    <mergeCell ref="F17:G17"/>
    <mergeCell ref="A21:G21"/>
    <mergeCell ref="F31:G31"/>
  </mergeCells>
  <printOptions horizontalCentered="1"/>
  <pageMargins left="0" right="0" top="0.74791666666666667" bottom="0.74791666666666667" header="0.51180555555555551" footer="0.51180555555555551"/>
  <pageSetup paperSize="9" scale="88" firstPageNumber="0" orientation="portrait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/>
  <dimension ref="A1:I47"/>
  <sheetViews>
    <sheetView topLeftCell="A27" workbookViewId="0">
      <selection activeCell="A37" sqref="A37"/>
    </sheetView>
  </sheetViews>
  <sheetFormatPr baseColWidth="10" defaultColWidth="10.7109375" defaultRowHeight="12.75" x14ac:dyDescent="0.2"/>
  <cols>
    <col min="1" max="1" width="3.7109375" customWidth="1"/>
    <col min="2" max="2" width="14.28515625" customWidth="1"/>
    <col min="3" max="3" width="16" customWidth="1"/>
    <col min="4" max="4" width="14.42578125" customWidth="1"/>
    <col min="5" max="5" width="25.140625" customWidth="1"/>
    <col min="6" max="6" width="28.140625" customWidth="1"/>
    <col min="7" max="7" width="14.28515625" customWidth="1"/>
  </cols>
  <sheetData>
    <row r="1" spans="1:7" ht="15" customHeight="1" x14ac:dyDescent="0.3">
      <c r="A1" s="1"/>
      <c r="B1" s="2"/>
      <c r="C1" s="3"/>
      <c r="D1" s="4"/>
      <c r="E1" s="5"/>
      <c r="F1" s="207" t="s">
        <v>0</v>
      </c>
      <c r="G1" s="207"/>
    </row>
    <row r="2" spans="1:7" ht="18.75" x14ac:dyDescent="0.3">
      <c r="A2" s="7" t="s">
        <v>1</v>
      </c>
      <c r="B2" s="7"/>
      <c r="C2" s="3"/>
      <c r="D2" s="4"/>
      <c r="E2" s="5"/>
      <c r="F2" s="5"/>
      <c r="G2" s="8"/>
    </row>
    <row r="3" spans="1:7" ht="15" x14ac:dyDescent="0.3">
      <c r="A3" s="1"/>
      <c r="B3" s="2"/>
      <c r="C3" s="3"/>
      <c r="D3" s="4"/>
      <c r="E3" s="5"/>
      <c r="F3" s="5"/>
      <c r="G3" s="8"/>
    </row>
    <row r="4" spans="1:7" ht="15" x14ac:dyDescent="0.3">
      <c r="A4" s="1"/>
      <c r="B4" s="2"/>
      <c r="C4" s="3"/>
      <c r="D4" s="4"/>
      <c r="E4" s="5"/>
      <c r="F4" s="5"/>
      <c r="G4" s="8"/>
    </row>
    <row r="5" spans="1:7" ht="18" x14ac:dyDescent="0.25">
      <c r="A5" s="208" t="s">
        <v>1738</v>
      </c>
      <c r="B5" s="208"/>
      <c r="C5" s="208"/>
      <c r="D5" s="208"/>
      <c r="E5" s="208"/>
      <c r="F5" s="208"/>
      <c r="G5" s="208"/>
    </row>
    <row r="6" spans="1:7" ht="15" x14ac:dyDescent="0.3">
      <c r="A6" s="1"/>
      <c r="B6" s="9"/>
      <c r="C6" s="9"/>
      <c r="D6" s="9"/>
      <c r="E6" s="9"/>
      <c r="F6" s="10"/>
      <c r="G6" s="11"/>
    </row>
    <row r="7" spans="1:7" x14ac:dyDescent="0.2">
      <c r="A7" s="12" t="s">
        <v>2</v>
      </c>
      <c r="B7" s="12" t="s">
        <v>3</v>
      </c>
      <c r="C7" s="13" t="s">
        <v>4</v>
      </c>
      <c r="D7" s="14" t="s">
        <v>5</v>
      </c>
      <c r="E7" s="13" t="s">
        <v>6</v>
      </c>
      <c r="F7" s="13" t="s">
        <v>7</v>
      </c>
      <c r="G7" s="13" t="s">
        <v>32</v>
      </c>
    </row>
    <row r="8" spans="1:7" ht="15" x14ac:dyDescent="0.3">
      <c r="A8" s="15">
        <v>1</v>
      </c>
      <c r="B8" s="16">
        <v>40869</v>
      </c>
      <c r="C8" s="33" t="s">
        <v>1739</v>
      </c>
      <c r="D8" s="18">
        <f>+B8+15</f>
        <v>40884</v>
      </c>
      <c r="E8" s="19" t="s">
        <v>309</v>
      </c>
      <c r="F8" s="19" t="s">
        <v>1740</v>
      </c>
      <c r="G8" s="21">
        <v>115.03</v>
      </c>
    </row>
    <row r="9" spans="1:7" ht="30" x14ac:dyDescent="0.3">
      <c r="A9" s="15">
        <v>2</v>
      </c>
      <c r="B9" s="16">
        <v>40870</v>
      </c>
      <c r="C9" s="33" t="s">
        <v>1741</v>
      </c>
      <c r="D9" s="18">
        <f>+B9+15</f>
        <v>40885</v>
      </c>
      <c r="E9" s="19" t="s">
        <v>17</v>
      </c>
      <c r="F9" s="19" t="s">
        <v>1240</v>
      </c>
      <c r="G9" s="21">
        <v>778.8</v>
      </c>
    </row>
    <row r="10" spans="1:7" ht="15" x14ac:dyDescent="0.3">
      <c r="A10" s="15">
        <v>3</v>
      </c>
      <c r="B10" s="16">
        <v>40851</v>
      </c>
      <c r="C10" s="33" t="s">
        <v>1742</v>
      </c>
      <c r="D10" s="18">
        <f>+B10+30</f>
        <v>40881</v>
      </c>
      <c r="E10" s="19" t="s">
        <v>1743</v>
      </c>
      <c r="F10" s="19" t="s">
        <v>1744</v>
      </c>
      <c r="G10" s="21">
        <v>95.4</v>
      </c>
    </row>
    <row r="11" spans="1:7" ht="45" x14ac:dyDescent="0.3">
      <c r="A11" s="15">
        <v>4</v>
      </c>
      <c r="B11" s="16">
        <v>40850</v>
      </c>
      <c r="C11" s="33" t="s">
        <v>1745</v>
      </c>
      <c r="D11" s="18">
        <f>+B11+30</f>
        <v>40880</v>
      </c>
      <c r="E11" s="19" t="s">
        <v>1746</v>
      </c>
      <c r="F11" s="19" t="s">
        <v>303</v>
      </c>
      <c r="G11" s="21">
        <f>495.6-59</f>
        <v>436.6</v>
      </c>
    </row>
    <row r="12" spans="1:7" ht="30" x14ac:dyDescent="0.3">
      <c r="A12" s="15">
        <v>5</v>
      </c>
      <c r="B12" s="16">
        <v>40862</v>
      </c>
      <c r="C12" s="33" t="s">
        <v>1747</v>
      </c>
      <c r="D12" s="18">
        <f t="shared" ref="D12:D17" si="0">+B12+15</f>
        <v>40877</v>
      </c>
      <c r="E12" s="19" t="s">
        <v>233</v>
      </c>
      <c r="F12" s="19" t="s">
        <v>1748</v>
      </c>
      <c r="G12" s="21">
        <f>92+1.84</f>
        <v>93.84</v>
      </c>
    </row>
    <row r="13" spans="1:7" ht="30" x14ac:dyDescent="0.3">
      <c r="A13" s="15">
        <v>6</v>
      </c>
      <c r="B13" s="16">
        <v>40870</v>
      </c>
      <c r="C13" s="33" t="s">
        <v>1749</v>
      </c>
      <c r="D13" s="18">
        <f t="shared" si="0"/>
        <v>40885</v>
      </c>
      <c r="E13" s="19" t="s">
        <v>1750</v>
      </c>
      <c r="F13" s="19" t="s">
        <v>303</v>
      </c>
      <c r="G13" s="21">
        <v>560.5</v>
      </c>
    </row>
    <row r="14" spans="1:7" ht="30" x14ac:dyDescent="0.3">
      <c r="A14" s="15">
        <v>7</v>
      </c>
      <c r="B14" s="16">
        <v>40864</v>
      </c>
      <c r="C14" s="33" t="s">
        <v>1751</v>
      </c>
      <c r="D14" s="18">
        <f t="shared" si="0"/>
        <v>40879</v>
      </c>
      <c r="E14" s="19" t="s">
        <v>1750</v>
      </c>
      <c r="F14" s="19" t="s">
        <v>303</v>
      </c>
      <c r="G14" s="21">
        <v>324.5</v>
      </c>
    </row>
    <row r="15" spans="1:7" ht="30" x14ac:dyDescent="0.3">
      <c r="A15" s="15">
        <v>8</v>
      </c>
      <c r="B15" s="16">
        <v>40870</v>
      </c>
      <c r="C15" s="33" t="s">
        <v>1752</v>
      </c>
      <c r="D15" s="18">
        <f t="shared" si="0"/>
        <v>40885</v>
      </c>
      <c r="E15" s="19" t="s">
        <v>1750</v>
      </c>
      <c r="F15" s="19" t="s">
        <v>303</v>
      </c>
      <c r="G15" s="21">
        <v>501.5</v>
      </c>
    </row>
    <row r="16" spans="1:7" ht="30" x14ac:dyDescent="0.3">
      <c r="A16" s="15">
        <v>9</v>
      </c>
      <c r="B16" s="16">
        <v>40869</v>
      </c>
      <c r="C16" s="33" t="s">
        <v>1753</v>
      </c>
      <c r="D16" s="18">
        <f t="shared" si="0"/>
        <v>40884</v>
      </c>
      <c r="E16" s="19" t="s">
        <v>1750</v>
      </c>
      <c r="F16" s="19" t="s">
        <v>303</v>
      </c>
      <c r="G16" s="21">
        <v>413</v>
      </c>
    </row>
    <row r="17" spans="1:7" ht="30" x14ac:dyDescent="0.3">
      <c r="A17" s="15">
        <v>10</v>
      </c>
      <c r="B17" s="16">
        <v>40870</v>
      </c>
      <c r="C17" s="33" t="s">
        <v>1754</v>
      </c>
      <c r="D17" s="18">
        <f t="shared" si="0"/>
        <v>40885</v>
      </c>
      <c r="E17" s="19" t="s">
        <v>1750</v>
      </c>
      <c r="F17" s="19" t="s">
        <v>303</v>
      </c>
      <c r="G17" s="21">
        <v>413</v>
      </c>
    </row>
    <row r="18" spans="1:7" ht="30" x14ac:dyDescent="0.3">
      <c r="A18" s="15">
        <v>11</v>
      </c>
      <c r="B18" s="16">
        <v>40850</v>
      </c>
      <c r="C18" s="33" t="s">
        <v>1755</v>
      </c>
      <c r="D18" s="18">
        <f>+B18+30</f>
        <v>40880</v>
      </c>
      <c r="E18" s="19" t="s">
        <v>894</v>
      </c>
      <c r="F18" s="19" t="s">
        <v>50</v>
      </c>
      <c r="G18" s="21">
        <v>19</v>
      </c>
    </row>
    <row r="19" spans="1:7" ht="30" x14ac:dyDescent="0.3">
      <c r="A19" s="15">
        <v>12</v>
      </c>
      <c r="B19" s="16">
        <v>40850</v>
      </c>
      <c r="C19" s="33" t="s">
        <v>1756</v>
      </c>
      <c r="D19" s="18">
        <f>+B19+30</f>
        <v>40880</v>
      </c>
      <c r="E19" s="19" t="s">
        <v>894</v>
      </c>
      <c r="F19" s="19" t="s">
        <v>50</v>
      </c>
      <c r="G19" s="21">
        <v>522.5</v>
      </c>
    </row>
    <row r="20" spans="1:7" ht="30" x14ac:dyDescent="0.3">
      <c r="A20" s="15">
        <v>13</v>
      </c>
      <c r="B20" s="16">
        <v>40850</v>
      </c>
      <c r="C20" s="33" t="s">
        <v>1757</v>
      </c>
      <c r="D20" s="18">
        <f>+B20+30</f>
        <v>40880</v>
      </c>
      <c r="E20" s="19" t="s">
        <v>894</v>
      </c>
      <c r="F20" s="19" t="s">
        <v>50</v>
      </c>
      <c r="G20" s="21">
        <v>257.8</v>
      </c>
    </row>
    <row r="21" spans="1:7" ht="30" x14ac:dyDescent="0.3">
      <c r="A21" s="15">
        <v>14</v>
      </c>
      <c r="B21" s="16">
        <v>40872</v>
      </c>
      <c r="C21" s="33" t="s">
        <v>1758</v>
      </c>
      <c r="D21" s="18">
        <f>+B21</f>
        <v>40872</v>
      </c>
      <c r="E21" s="19" t="s">
        <v>219</v>
      </c>
      <c r="F21" s="19" t="s">
        <v>1759</v>
      </c>
      <c r="G21" s="21">
        <v>944</v>
      </c>
    </row>
    <row r="22" spans="1:7" ht="30" x14ac:dyDescent="0.3">
      <c r="A22" s="15">
        <v>15</v>
      </c>
      <c r="B22" s="16">
        <v>40872</v>
      </c>
      <c r="C22" s="33" t="s">
        <v>1760</v>
      </c>
      <c r="D22" s="18">
        <f>+B22</f>
        <v>40872</v>
      </c>
      <c r="E22" s="19" t="s">
        <v>219</v>
      </c>
      <c r="F22" s="19" t="s">
        <v>552</v>
      </c>
      <c r="G22" s="21">
        <v>5484.64</v>
      </c>
    </row>
    <row r="23" spans="1:7" ht="30" x14ac:dyDescent="0.3">
      <c r="A23" s="15">
        <v>16</v>
      </c>
      <c r="B23" s="16">
        <v>40872</v>
      </c>
      <c r="C23" s="33" t="s">
        <v>1761</v>
      </c>
      <c r="D23" s="18">
        <f>+B23</f>
        <v>40872</v>
      </c>
      <c r="E23" s="19" t="s">
        <v>219</v>
      </c>
      <c r="F23" s="19" t="s">
        <v>552</v>
      </c>
      <c r="G23" s="21">
        <v>4309.3599999999997</v>
      </c>
    </row>
    <row r="24" spans="1:7" ht="30" x14ac:dyDescent="0.3">
      <c r="A24" s="15">
        <v>17</v>
      </c>
      <c r="B24" s="16">
        <v>40849</v>
      </c>
      <c r="C24" s="33" t="s">
        <v>1406</v>
      </c>
      <c r="D24" s="18">
        <f>+B24+15</f>
        <v>40864</v>
      </c>
      <c r="E24" s="19" t="s">
        <v>281</v>
      </c>
      <c r="F24" s="19" t="s">
        <v>1762</v>
      </c>
      <c r="G24" s="21">
        <f>3355+574+1133.39</f>
        <v>5062.3900000000003</v>
      </c>
    </row>
    <row r="25" spans="1:7" ht="30" x14ac:dyDescent="0.3">
      <c r="A25" s="15">
        <v>18</v>
      </c>
      <c r="B25" s="16">
        <v>40854</v>
      </c>
      <c r="C25" s="33" t="s">
        <v>1406</v>
      </c>
      <c r="D25" s="18">
        <f>+B25+15</f>
        <v>40869</v>
      </c>
      <c r="E25" s="19" t="s">
        <v>281</v>
      </c>
      <c r="F25" s="19" t="s">
        <v>1763</v>
      </c>
      <c r="G25" s="21">
        <f>169.13+911.1</f>
        <v>1080.23</v>
      </c>
    </row>
    <row r="26" spans="1:7" ht="30" x14ac:dyDescent="0.3">
      <c r="A26" s="15">
        <v>19</v>
      </c>
      <c r="B26" s="16">
        <v>40851</v>
      </c>
      <c r="C26" s="33" t="s">
        <v>1406</v>
      </c>
      <c r="D26" s="18">
        <f>+B26+15</f>
        <v>40866</v>
      </c>
      <c r="E26" s="19" t="s">
        <v>1764</v>
      </c>
      <c r="F26" s="19" t="s">
        <v>1765</v>
      </c>
      <c r="G26" s="21">
        <f>318.6+88+20+413-17.3</f>
        <v>822.30000000000007</v>
      </c>
    </row>
    <row r="27" spans="1:7" ht="15" x14ac:dyDescent="0.2">
      <c r="A27" s="22"/>
      <c r="B27" s="22"/>
      <c r="C27" s="23"/>
      <c r="D27" s="24"/>
      <c r="E27" s="25"/>
      <c r="F27" s="26" t="s">
        <v>24</v>
      </c>
      <c r="G27" s="36">
        <f>SUM(G8:G26)</f>
        <v>22234.39</v>
      </c>
    </row>
    <row r="30" spans="1:7" ht="12.75" customHeight="1" x14ac:dyDescent="0.2">
      <c r="F30" s="207" t="s">
        <v>0</v>
      </c>
      <c r="G30" s="207"/>
    </row>
    <row r="31" spans="1:7" ht="18.75" x14ac:dyDescent="0.3">
      <c r="A31" s="31" t="s">
        <v>1</v>
      </c>
      <c r="B31" s="29"/>
      <c r="C31" s="37"/>
      <c r="D31" s="30"/>
      <c r="E31" s="5"/>
      <c r="F31" s="29"/>
      <c r="G31" s="29"/>
    </row>
    <row r="32" spans="1:7" ht="15" x14ac:dyDescent="0.3">
      <c r="A32" s="29"/>
      <c r="B32" s="30"/>
      <c r="C32" s="37"/>
      <c r="D32" s="30"/>
      <c r="E32" s="5"/>
      <c r="F32" s="5"/>
      <c r="G32" s="32"/>
    </row>
    <row r="33" spans="1:9" ht="15" x14ac:dyDescent="0.3">
      <c r="A33" s="29"/>
      <c r="B33" s="30"/>
      <c r="C33" s="37"/>
      <c r="D33" s="30"/>
      <c r="E33" s="5"/>
      <c r="F33" s="5"/>
      <c r="G33" s="32"/>
    </row>
    <row r="34" spans="1:9" ht="18" x14ac:dyDescent="0.25">
      <c r="A34" s="208" t="s">
        <v>1766</v>
      </c>
      <c r="B34" s="208"/>
      <c r="C34" s="208"/>
      <c r="D34" s="208"/>
      <c r="E34" s="208"/>
      <c r="F34" s="208"/>
      <c r="G34" s="208"/>
    </row>
    <row r="35" spans="1:9" ht="15" x14ac:dyDescent="0.3">
      <c r="A35" s="29"/>
      <c r="B35" s="9"/>
      <c r="C35" s="9"/>
      <c r="D35" s="9"/>
      <c r="E35" s="9"/>
      <c r="F35" s="10"/>
      <c r="G35" s="11"/>
    </row>
    <row r="36" spans="1:9" x14ac:dyDescent="0.2">
      <c r="A36" s="12" t="s">
        <v>2</v>
      </c>
      <c r="B36" s="12" t="s">
        <v>3</v>
      </c>
      <c r="C36" s="13" t="s">
        <v>4</v>
      </c>
      <c r="D36" s="14" t="s">
        <v>25</v>
      </c>
      <c r="E36" s="13" t="s">
        <v>6</v>
      </c>
      <c r="F36" s="13" t="s">
        <v>7</v>
      </c>
      <c r="G36" s="13" t="s">
        <v>32</v>
      </c>
    </row>
    <row r="37" spans="1:9" ht="30" x14ac:dyDescent="0.3">
      <c r="A37" s="15">
        <v>1</v>
      </c>
      <c r="B37" s="16">
        <v>40886</v>
      </c>
      <c r="C37" s="33" t="s">
        <v>1767</v>
      </c>
      <c r="D37" s="18" t="s">
        <v>1768</v>
      </c>
      <c r="E37" s="19" t="s">
        <v>131</v>
      </c>
      <c r="F37" s="19" t="s">
        <v>1769</v>
      </c>
      <c r="G37" s="21">
        <v>629.5</v>
      </c>
      <c r="H37" t="s">
        <v>27</v>
      </c>
    </row>
    <row r="38" spans="1:9" ht="30" x14ac:dyDescent="0.3">
      <c r="A38" s="15">
        <v>2</v>
      </c>
      <c r="B38" s="16">
        <v>40879</v>
      </c>
      <c r="C38" s="33" t="s">
        <v>29</v>
      </c>
      <c r="D38" s="18" t="s">
        <v>1770</v>
      </c>
      <c r="E38" s="19" t="s">
        <v>1771</v>
      </c>
      <c r="F38" s="19" t="s">
        <v>1772</v>
      </c>
      <c r="G38" s="21">
        <v>599.49</v>
      </c>
      <c r="H38" s="45" t="s">
        <v>27</v>
      </c>
    </row>
    <row r="39" spans="1:9" ht="30" x14ac:dyDescent="0.3">
      <c r="A39" s="15">
        <v>3</v>
      </c>
      <c r="B39" s="16">
        <v>40879</v>
      </c>
      <c r="C39" s="33" t="s">
        <v>29</v>
      </c>
      <c r="D39" s="18" t="s">
        <v>1773</v>
      </c>
      <c r="E39" s="19" t="s">
        <v>1771</v>
      </c>
      <c r="F39" s="19" t="s">
        <v>1774</v>
      </c>
      <c r="G39" s="21">
        <v>2578.9499999999998</v>
      </c>
      <c r="H39" s="45" t="s">
        <v>27</v>
      </c>
    </row>
    <row r="40" spans="1:9" ht="45" x14ac:dyDescent="0.3">
      <c r="A40" s="15">
        <v>4</v>
      </c>
      <c r="B40" s="16">
        <v>40877</v>
      </c>
      <c r="C40" s="33" t="s">
        <v>1406</v>
      </c>
      <c r="D40" s="18" t="s">
        <v>1775</v>
      </c>
      <c r="E40" s="19" t="s">
        <v>1588</v>
      </c>
      <c r="F40" s="19" t="s">
        <v>1776</v>
      </c>
      <c r="G40" s="21">
        <v>378.5</v>
      </c>
      <c r="H40" s="59" t="s">
        <v>27</v>
      </c>
      <c r="I40" t="s">
        <v>1777</v>
      </c>
    </row>
    <row r="41" spans="1:9" ht="30" x14ac:dyDescent="0.3">
      <c r="A41" s="15">
        <v>5</v>
      </c>
      <c r="B41" s="16">
        <v>40879</v>
      </c>
      <c r="C41" s="33" t="s">
        <v>1406</v>
      </c>
      <c r="D41" s="18" t="s">
        <v>1778</v>
      </c>
      <c r="E41" s="19" t="s">
        <v>260</v>
      </c>
      <c r="F41" s="19" t="s">
        <v>1779</v>
      </c>
      <c r="G41" s="21">
        <v>2086.9</v>
      </c>
      <c r="H41" t="s">
        <v>27</v>
      </c>
    </row>
    <row r="42" spans="1:9" ht="30" x14ac:dyDescent="0.3">
      <c r="A42" s="15">
        <v>6</v>
      </c>
      <c r="B42" s="16">
        <v>40879</v>
      </c>
      <c r="C42" s="33" t="s">
        <v>1780</v>
      </c>
      <c r="D42" s="18" t="s">
        <v>1781</v>
      </c>
      <c r="E42" s="19" t="s">
        <v>1782</v>
      </c>
      <c r="F42" s="19" t="s">
        <v>1783</v>
      </c>
      <c r="G42" s="21">
        <v>47082</v>
      </c>
      <c r="H42" t="s">
        <v>27</v>
      </c>
    </row>
    <row r="43" spans="1:9" ht="30" x14ac:dyDescent="0.3">
      <c r="A43" s="15">
        <v>7</v>
      </c>
      <c r="B43" s="16">
        <v>40892</v>
      </c>
      <c r="C43" s="33" t="s">
        <v>1784</v>
      </c>
      <c r="D43" s="18" t="s">
        <v>1785</v>
      </c>
      <c r="E43" s="19" t="s">
        <v>208</v>
      </c>
      <c r="F43" s="19" t="s">
        <v>1786</v>
      </c>
      <c r="G43" s="21">
        <v>97.15</v>
      </c>
      <c r="H43" t="s">
        <v>27</v>
      </c>
    </row>
    <row r="44" spans="1:9" ht="30" x14ac:dyDescent="0.3">
      <c r="A44" s="15">
        <v>8</v>
      </c>
      <c r="B44" s="16">
        <v>40894</v>
      </c>
      <c r="C44" s="33" t="s">
        <v>403</v>
      </c>
      <c r="D44" s="18" t="s">
        <v>1787</v>
      </c>
      <c r="E44" s="19" t="s">
        <v>405</v>
      </c>
      <c r="F44" s="19" t="s">
        <v>1788</v>
      </c>
      <c r="G44" s="21">
        <v>1524.8</v>
      </c>
      <c r="H44" t="s">
        <v>27</v>
      </c>
    </row>
    <row r="45" spans="1:9" ht="30" x14ac:dyDescent="0.3">
      <c r="A45" s="15">
        <v>9</v>
      </c>
      <c r="B45" s="16">
        <v>40884</v>
      </c>
      <c r="C45" s="33" t="s">
        <v>1406</v>
      </c>
      <c r="D45" s="18" t="s">
        <v>1789</v>
      </c>
      <c r="E45" s="19" t="s">
        <v>582</v>
      </c>
      <c r="F45" s="19" t="s">
        <v>1790</v>
      </c>
      <c r="G45" s="21">
        <v>2025</v>
      </c>
      <c r="H45" t="s">
        <v>27</v>
      </c>
    </row>
    <row r="46" spans="1:9" ht="15" x14ac:dyDescent="0.3">
      <c r="A46" s="29"/>
      <c r="B46" s="30"/>
      <c r="C46" s="37"/>
      <c r="D46" s="30"/>
      <c r="E46" s="5"/>
      <c r="F46" s="46" t="s">
        <v>24</v>
      </c>
      <c r="G46" s="36">
        <f>SUM(G37:G45)</f>
        <v>57002.29</v>
      </c>
    </row>
    <row r="47" spans="1:9" x14ac:dyDescent="0.2">
      <c r="G47" s="104"/>
    </row>
  </sheetData>
  <sheetProtection selectLockedCells="1" selectUnlockedCells="1"/>
  <mergeCells count="4">
    <mergeCell ref="F1:G1"/>
    <mergeCell ref="A5:G5"/>
    <mergeCell ref="F30:G30"/>
    <mergeCell ref="A34:G34"/>
  </mergeCells>
  <printOptions horizontalCentered="1"/>
  <pageMargins left="0" right="0" top="0.74791666666666667" bottom="0.74791666666666667" header="0.51180555555555551" footer="0.51180555555555551"/>
  <pageSetup paperSize="9" scale="75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M101"/>
  <sheetViews>
    <sheetView workbookViewId="0"/>
  </sheetViews>
  <sheetFormatPr baseColWidth="10" defaultColWidth="10.7109375" defaultRowHeight="12.75" x14ac:dyDescent="0.2"/>
  <cols>
    <col min="1" max="1" width="3.7109375" customWidth="1"/>
    <col min="2" max="2" width="13.140625" customWidth="1"/>
    <col min="4" max="4" width="14.42578125" customWidth="1"/>
    <col min="5" max="5" width="30.7109375" customWidth="1"/>
    <col min="6" max="6" width="32.28515625" customWidth="1"/>
    <col min="7" max="7" width="14.42578125" customWidth="1"/>
    <col min="8" max="8" width="12" customWidth="1"/>
  </cols>
  <sheetData>
    <row r="1" spans="1:8" ht="15" customHeight="1" x14ac:dyDescent="0.3">
      <c r="A1" s="1"/>
      <c r="B1" s="2"/>
      <c r="C1" s="3"/>
      <c r="D1" s="4"/>
      <c r="E1" s="5"/>
      <c r="F1" s="207" t="s">
        <v>0</v>
      </c>
      <c r="G1" s="207"/>
    </row>
    <row r="2" spans="1:8" ht="18.75" x14ac:dyDescent="0.3">
      <c r="A2" s="7" t="s">
        <v>1</v>
      </c>
      <c r="B2" s="7"/>
      <c r="C2" s="3"/>
      <c r="D2" s="4"/>
      <c r="E2" s="5"/>
      <c r="F2" s="5"/>
      <c r="G2" s="8"/>
    </row>
    <row r="3" spans="1:8" ht="15" x14ac:dyDescent="0.3">
      <c r="A3" s="1"/>
      <c r="B3" s="2"/>
      <c r="C3" s="3"/>
      <c r="D3" s="4"/>
      <c r="E3" s="5"/>
      <c r="F3" s="5"/>
      <c r="G3" s="8"/>
    </row>
    <row r="4" spans="1:8" ht="15" x14ac:dyDescent="0.3">
      <c r="A4" s="1"/>
      <c r="B4" s="2"/>
      <c r="C4" s="3"/>
      <c r="D4" s="4"/>
      <c r="E4" s="5"/>
      <c r="F4" s="5"/>
      <c r="G4" s="8"/>
    </row>
    <row r="5" spans="1:8" ht="18" x14ac:dyDescent="0.25">
      <c r="A5" s="208" t="s">
        <v>215</v>
      </c>
      <c r="B5" s="208"/>
      <c r="C5" s="208"/>
      <c r="D5" s="208"/>
      <c r="E5" s="208"/>
      <c r="F5" s="208"/>
      <c r="G5" s="208"/>
    </row>
    <row r="6" spans="1:8" ht="15" x14ac:dyDescent="0.3">
      <c r="A6" s="1"/>
      <c r="B6" s="9"/>
      <c r="C6" s="9"/>
      <c r="D6" s="9"/>
      <c r="E6" s="9"/>
      <c r="F6" s="10"/>
      <c r="G6" s="11"/>
    </row>
    <row r="7" spans="1:8" x14ac:dyDescent="0.2">
      <c r="A7" s="12" t="s">
        <v>2</v>
      </c>
      <c r="B7" s="12" t="s">
        <v>3</v>
      </c>
      <c r="C7" s="13" t="s">
        <v>4</v>
      </c>
      <c r="D7" s="14" t="s">
        <v>5</v>
      </c>
      <c r="E7" s="13" t="s">
        <v>6</v>
      </c>
      <c r="F7" s="13" t="s">
        <v>7</v>
      </c>
      <c r="G7" s="13" t="s">
        <v>32</v>
      </c>
    </row>
    <row r="8" spans="1:8" ht="30" x14ac:dyDescent="0.3">
      <c r="A8" s="15">
        <v>1</v>
      </c>
      <c r="B8" s="16">
        <v>40575</v>
      </c>
      <c r="C8" s="17" t="s">
        <v>216</v>
      </c>
      <c r="D8" s="18">
        <f>+B8+30</f>
        <v>40605</v>
      </c>
      <c r="E8" s="19" t="s">
        <v>40</v>
      </c>
      <c r="F8" s="20" t="s">
        <v>217</v>
      </c>
      <c r="G8" s="21">
        <v>1300.02</v>
      </c>
    </row>
    <row r="9" spans="1:8" ht="30" x14ac:dyDescent="0.3">
      <c r="A9" s="15">
        <v>2</v>
      </c>
      <c r="B9" s="16">
        <v>40585</v>
      </c>
      <c r="C9" s="17" t="s">
        <v>218</v>
      </c>
      <c r="D9" s="18">
        <f>+B9</f>
        <v>40585</v>
      </c>
      <c r="E9" s="19" t="s">
        <v>219</v>
      </c>
      <c r="F9" s="20" t="s">
        <v>220</v>
      </c>
      <c r="G9" s="21">
        <v>1481.55</v>
      </c>
    </row>
    <row r="10" spans="1:8" ht="30" x14ac:dyDescent="0.3">
      <c r="A10" s="15">
        <v>3</v>
      </c>
      <c r="B10" s="16">
        <v>40596</v>
      </c>
      <c r="C10" s="17" t="s">
        <v>221</v>
      </c>
      <c r="D10" s="18">
        <f>+B10</f>
        <v>40596</v>
      </c>
      <c r="E10" s="19" t="s">
        <v>219</v>
      </c>
      <c r="F10" s="20" t="s">
        <v>222</v>
      </c>
      <c r="G10" s="21">
        <v>4998</v>
      </c>
    </row>
    <row r="11" spans="1:8" ht="30" x14ac:dyDescent="0.3">
      <c r="A11" s="15">
        <v>4</v>
      </c>
      <c r="B11" s="16">
        <v>40596</v>
      </c>
      <c r="C11" s="17" t="s">
        <v>223</v>
      </c>
      <c r="D11" s="18">
        <f>+B11</f>
        <v>40596</v>
      </c>
      <c r="E11" s="19" t="s">
        <v>219</v>
      </c>
      <c r="F11" s="20" t="s">
        <v>224</v>
      </c>
      <c r="G11" s="21">
        <v>11358.55</v>
      </c>
    </row>
    <row r="12" spans="1:8" ht="30" x14ac:dyDescent="0.3">
      <c r="A12" s="15">
        <v>5</v>
      </c>
      <c r="B12" s="16">
        <v>40589</v>
      </c>
      <c r="C12" s="17" t="s">
        <v>225</v>
      </c>
      <c r="D12" s="18">
        <f>+B12+15</f>
        <v>40604</v>
      </c>
      <c r="E12" s="19" t="s">
        <v>55</v>
      </c>
      <c r="F12" s="20" t="s">
        <v>226</v>
      </c>
      <c r="G12" s="21">
        <v>49.01</v>
      </c>
    </row>
    <row r="13" spans="1:8" ht="30" x14ac:dyDescent="0.3">
      <c r="A13" s="15">
        <v>6</v>
      </c>
      <c r="B13" s="16">
        <v>40590</v>
      </c>
      <c r="C13" s="17" t="s">
        <v>227</v>
      </c>
      <c r="D13" s="18">
        <f>+B13+15</f>
        <v>40605</v>
      </c>
      <c r="E13" s="19" t="s">
        <v>17</v>
      </c>
      <c r="F13" s="20" t="s">
        <v>228</v>
      </c>
      <c r="G13" s="21">
        <v>904.4</v>
      </c>
    </row>
    <row r="14" spans="1:8" ht="30" x14ac:dyDescent="0.3">
      <c r="A14" s="15">
        <v>7</v>
      </c>
      <c r="B14" s="16">
        <v>40575</v>
      </c>
      <c r="C14" s="17" t="s">
        <v>229</v>
      </c>
      <c r="D14" s="18">
        <f>+B14+15</f>
        <v>40590</v>
      </c>
      <c r="E14" s="19" t="s">
        <v>230</v>
      </c>
      <c r="F14" s="20" t="s">
        <v>231</v>
      </c>
      <c r="G14" s="21">
        <v>540</v>
      </c>
    </row>
    <row r="15" spans="1:8" ht="30" x14ac:dyDescent="0.3">
      <c r="A15" s="15">
        <v>8</v>
      </c>
      <c r="B15" s="16">
        <v>40584</v>
      </c>
      <c r="C15" s="17" t="s">
        <v>232</v>
      </c>
      <c r="D15" s="18">
        <f>+B15+15</f>
        <v>40599</v>
      </c>
      <c r="E15" s="19" t="s">
        <v>233</v>
      </c>
      <c r="F15" s="20" t="s">
        <v>234</v>
      </c>
      <c r="G15" s="21">
        <f>263+5.26</f>
        <v>268.26</v>
      </c>
    </row>
    <row r="16" spans="1:8" ht="45" x14ac:dyDescent="0.3">
      <c r="A16" s="15">
        <v>9</v>
      </c>
      <c r="B16" s="16">
        <v>40492</v>
      </c>
      <c r="C16" s="17" t="s">
        <v>235</v>
      </c>
      <c r="D16" s="18">
        <f>+B16</f>
        <v>40492</v>
      </c>
      <c r="E16" s="19" t="s">
        <v>236</v>
      </c>
      <c r="F16" s="20" t="s">
        <v>237</v>
      </c>
      <c r="G16" s="21">
        <v>297.5</v>
      </c>
      <c r="H16" s="44"/>
    </row>
    <row r="17" spans="1:8" ht="15" x14ac:dyDescent="0.2">
      <c r="A17" s="22"/>
      <c r="B17" s="22"/>
      <c r="C17" s="23"/>
      <c r="D17" s="24"/>
      <c r="E17" s="25"/>
      <c r="F17" s="26" t="s">
        <v>24</v>
      </c>
      <c r="G17" s="36">
        <f>SUM(G8:G16)</f>
        <v>21197.289999999997</v>
      </c>
    </row>
    <row r="18" spans="1:8" ht="15" x14ac:dyDescent="0.3">
      <c r="A18" s="1"/>
      <c r="B18" s="28"/>
      <c r="C18" s="1"/>
      <c r="D18" s="1"/>
      <c r="E18" s="1"/>
      <c r="F18" s="5"/>
      <c r="G18" s="11"/>
    </row>
    <row r="21" spans="1:8" ht="15" customHeight="1" x14ac:dyDescent="0.3">
      <c r="A21" s="29"/>
      <c r="B21" s="30"/>
      <c r="C21" s="37"/>
      <c r="D21" s="30"/>
      <c r="E21" s="5"/>
      <c r="F21" s="207" t="s">
        <v>0</v>
      </c>
      <c r="G21" s="207"/>
    </row>
    <row r="22" spans="1:8" ht="18.75" x14ac:dyDescent="0.3">
      <c r="A22" s="31" t="s">
        <v>1</v>
      </c>
      <c r="B22" s="29"/>
      <c r="C22" s="37"/>
      <c r="D22" s="30"/>
      <c r="E22" s="5"/>
      <c r="F22" s="29"/>
      <c r="G22" s="29"/>
    </row>
    <row r="23" spans="1:8" ht="15" x14ac:dyDescent="0.3">
      <c r="A23" s="29"/>
      <c r="B23" s="30"/>
      <c r="C23" s="37"/>
      <c r="D23" s="30"/>
      <c r="E23" s="5"/>
      <c r="F23" s="5"/>
      <c r="G23" s="32"/>
    </row>
    <row r="24" spans="1:8" ht="15" x14ac:dyDescent="0.3">
      <c r="A24" s="29"/>
      <c r="B24" s="30"/>
      <c r="C24" s="37"/>
      <c r="D24" s="30"/>
      <c r="E24" s="5"/>
      <c r="F24" s="5"/>
      <c r="G24" s="32"/>
    </row>
    <row r="25" spans="1:8" ht="18" x14ac:dyDescent="0.25">
      <c r="A25" s="208" t="s">
        <v>238</v>
      </c>
      <c r="B25" s="208"/>
      <c r="C25" s="208"/>
      <c r="D25" s="208"/>
      <c r="E25" s="208"/>
      <c r="F25" s="208"/>
      <c r="G25" s="208"/>
    </row>
    <row r="26" spans="1:8" ht="15" x14ac:dyDescent="0.3">
      <c r="A26" s="29"/>
      <c r="B26" s="9"/>
      <c r="C26" s="9"/>
      <c r="D26" s="9"/>
      <c r="E26" s="9"/>
      <c r="F26" s="10"/>
      <c r="G26" s="11"/>
    </row>
    <row r="27" spans="1:8" x14ac:dyDescent="0.2">
      <c r="A27" s="12" t="s">
        <v>2</v>
      </c>
      <c r="B27" s="12" t="s">
        <v>3</v>
      </c>
      <c r="C27" s="13" t="s">
        <v>4</v>
      </c>
      <c r="D27" s="14" t="s">
        <v>25</v>
      </c>
      <c r="E27" s="13" t="s">
        <v>6</v>
      </c>
      <c r="F27" s="13" t="s">
        <v>7</v>
      </c>
      <c r="G27" s="13" t="s">
        <v>32</v>
      </c>
    </row>
    <row r="28" spans="1:8" ht="30" x14ac:dyDescent="0.3">
      <c r="A28" s="52">
        <v>1</v>
      </c>
      <c r="B28" s="53">
        <v>40596</v>
      </c>
      <c r="C28" s="17" t="s">
        <v>239</v>
      </c>
      <c r="D28" s="18" t="s">
        <v>240</v>
      </c>
      <c r="E28" s="19" t="s">
        <v>241</v>
      </c>
      <c r="F28" s="20" t="s">
        <v>242</v>
      </c>
      <c r="G28" s="21">
        <v>2430</v>
      </c>
      <c r="H28" s="1" t="s">
        <v>27</v>
      </c>
    </row>
    <row r="29" spans="1:8" ht="30" x14ac:dyDescent="0.3">
      <c r="A29" s="52">
        <v>2</v>
      </c>
      <c r="B29" s="53">
        <v>40599</v>
      </c>
      <c r="C29" s="17" t="s">
        <v>243</v>
      </c>
      <c r="D29" s="18" t="s">
        <v>244</v>
      </c>
      <c r="E29" s="19" t="s">
        <v>245</v>
      </c>
      <c r="F29" s="20" t="s">
        <v>246</v>
      </c>
      <c r="G29" s="21">
        <f>72.24+12+247.5+840+660+20+7.48+7.48+72+7</f>
        <v>1945.7</v>
      </c>
      <c r="H29" s="1" t="s">
        <v>27</v>
      </c>
    </row>
    <row r="30" spans="1:8" ht="30" x14ac:dyDescent="0.3">
      <c r="A30" s="52">
        <v>3</v>
      </c>
      <c r="B30" s="16">
        <v>40605</v>
      </c>
      <c r="C30" s="17" t="s">
        <v>247</v>
      </c>
      <c r="D30" s="18" t="s">
        <v>248</v>
      </c>
      <c r="E30" s="19" t="s">
        <v>37</v>
      </c>
      <c r="F30" s="20" t="s">
        <v>249</v>
      </c>
      <c r="G30" s="21">
        <v>798.49</v>
      </c>
      <c r="H30" t="s">
        <v>27</v>
      </c>
    </row>
    <row r="31" spans="1:8" ht="30" x14ac:dyDescent="0.3">
      <c r="A31" s="52">
        <v>4</v>
      </c>
      <c r="B31" s="16">
        <v>40563</v>
      </c>
      <c r="C31" s="17" t="s">
        <v>250</v>
      </c>
      <c r="D31" s="18" t="s">
        <v>251</v>
      </c>
      <c r="E31" s="19" t="s">
        <v>252</v>
      </c>
      <c r="F31" s="20" t="s">
        <v>253</v>
      </c>
      <c r="G31" s="21">
        <f>7735-(7735*0.12)</f>
        <v>6806.8</v>
      </c>
      <c r="H31" t="s">
        <v>27</v>
      </c>
    </row>
    <row r="32" spans="1:8" ht="30" x14ac:dyDescent="0.3">
      <c r="A32" s="52">
        <v>5</v>
      </c>
      <c r="B32" s="16">
        <v>40598</v>
      </c>
      <c r="C32" s="17" t="s">
        <v>254</v>
      </c>
      <c r="D32" s="18" t="s">
        <v>255</v>
      </c>
      <c r="E32" s="19" t="s">
        <v>256</v>
      </c>
      <c r="F32" s="20" t="s">
        <v>257</v>
      </c>
      <c r="G32" s="21">
        <f>2864.56-(2864.56*0.05)</f>
        <v>2721.3319999999999</v>
      </c>
      <c r="H32" t="s">
        <v>27</v>
      </c>
    </row>
    <row r="33" spans="1:8" ht="45" x14ac:dyDescent="0.3">
      <c r="A33" s="52">
        <v>6</v>
      </c>
      <c r="B33" s="16">
        <v>40603</v>
      </c>
      <c r="C33" s="17" t="s">
        <v>258</v>
      </c>
      <c r="D33" s="18" t="s">
        <v>259</v>
      </c>
      <c r="E33" s="19" t="s">
        <v>260</v>
      </c>
      <c r="F33" s="20" t="s">
        <v>261</v>
      </c>
      <c r="G33" s="21">
        <f>4901.07+305.94</f>
        <v>5207.0099999999993</v>
      </c>
      <c r="H33" t="s">
        <v>27</v>
      </c>
    </row>
    <row r="34" spans="1:8" ht="45" x14ac:dyDescent="0.3">
      <c r="A34" s="52">
        <v>7</v>
      </c>
      <c r="B34" s="16">
        <v>40596</v>
      </c>
      <c r="C34" s="17" t="s">
        <v>262</v>
      </c>
      <c r="D34" s="18" t="s">
        <v>263</v>
      </c>
      <c r="E34" s="19" t="s">
        <v>264</v>
      </c>
      <c r="F34" s="20" t="s">
        <v>265</v>
      </c>
      <c r="G34" s="21">
        <f>770+55</f>
        <v>825</v>
      </c>
      <c r="H34" t="s">
        <v>27</v>
      </c>
    </row>
    <row r="35" spans="1:8" ht="30" x14ac:dyDescent="0.3">
      <c r="A35" s="52">
        <v>8</v>
      </c>
      <c r="B35" s="16">
        <v>40604</v>
      </c>
      <c r="C35" s="17" t="s">
        <v>266</v>
      </c>
      <c r="D35" s="18" t="s">
        <v>267</v>
      </c>
      <c r="E35" s="19" t="s">
        <v>268</v>
      </c>
      <c r="F35" s="20" t="s">
        <v>269</v>
      </c>
      <c r="G35" s="21">
        <v>2600</v>
      </c>
      <c r="H35" t="s">
        <v>27</v>
      </c>
    </row>
    <row r="36" spans="1:8" ht="60" x14ac:dyDescent="0.3">
      <c r="A36" s="52">
        <v>9</v>
      </c>
      <c r="B36" s="16">
        <v>40604</v>
      </c>
      <c r="C36" s="17" t="s">
        <v>270</v>
      </c>
      <c r="D36" s="18" t="s">
        <v>271</v>
      </c>
      <c r="E36" s="19" t="s">
        <v>272</v>
      </c>
      <c r="F36" s="20" t="s">
        <v>273</v>
      </c>
      <c r="G36" s="21">
        <v>14558.25</v>
      </c>
      <c r="H36" t="s">
        <v>27</v>
      </c>
    </row>
    <row r="37" spans="1:8" ht="15" x14ac:dyDescent="0.3">
      <c r="A37" s="29"/>
      <c r="B37" s="30"/>
      <c r="C37" s="37"/>
      <c r="D37" s="30"/>
      <c r="E37" s="5"/>
      <c r="F37" s="46" t="s">
        <v>24</v>
      </c>
      <c r="G37" s="36">
        <f>SUM(G28:G36)</f>
        <v>37892.581999999995</v>
      </c>
    </row>
    <row r="38" spans="1:8" ht="15" x14ac:dyDescent="0.3">
      <c r="A38" s="29"/>
      <c r="B38" s="30"/>
      <c r="C38" s="37"/>
      <c r="D38" s="30"/>
      <c r="E38" s="5"/>
      <c r="F38" s="55"/>
      <c r="G38" s="56"/>
    </row>
    <row r="39" spans="1:8" ht="15" x14ac:dyDescent="0.3">
      <c r="A39" s="29"/>
      <c r="B39" s="30"/>
      <c r="C39" s="37"/>
      <c r="D39" s="30"/>
      <c r="E39" s="5"/>
      <c r="F39" s="55"/>
      <c r="G39" s="56"/>
    </row>
    <row r="40" spans="1:8" x14ac:dyDescent="0.2">
      <c r="B40" s="35"/>
    </row>
    <row r="41" spans="1:8" ht="18.75" x14ac:dyDescent="0.3">
      <c r="A41" s="209" t="s">
        <v>1</v>
      </c>
      <c r="B41" s="209"/>
      <c r="C41" s="209"/>
      <c r="D41" s="209"/>
      <c r="E41" s="209"/>
      <c r="F41" s="47"/>
      <c r="G41" s="47"/>
    </row>
    <row r="42" spans="1:8" ht="15" x14ac:dyDescent="0.3">
      <c r="A42" s="1"/>
      <c r="B42" s="37"/>
      <c r="C42" s="37"/>
      <c r="D42" s="37"/>
      <c r="E42" s="47"/>
      <c r="F42" s="47"/>
      <c r="G42" s="48"/>
    </row>
    <row r="43" spans="1:8" ht="15" x14ac:dyDescent="0.3">
      <c r="A43" s="1"/>
      <c r="B43" s="37"/>
      <c r="C43" s="37"/>
      <c r="D43" s="37"/>
      <c r="E43" s="47"/>
      <c r="F43" s="47"/>
      <c r="G43" s="48"/>
    </row>
    <row r="44" spans="1:8" ht="18" x14ac:dyDescent="0.25">
      <c r="A44" s="210" t="s">
        <v>274</v>
      </c>
      <c r="B44" s="210"/>
      <c r="C44" s="210"/>
      <c r="D44" s="210"/>
      <c r="E44" s="210"/>
      <c r="F44" s="210"/>
      <c r="G44" s="210"/>
    </row>
    <row r="45" spans="1:8" ht="15" x14ac:dyDescent="0.3">
      <c r="A45" s="1"/>
      <c r="B45" s="49"/>
      <c r="C45" s="49"/>
      <c r="D45" s="49"/>
      <c r="E45" s="49"/>
      <c r="F45" s="50"/>
      <c r="G45" s="47"/>
    </row>
    <row r="46" spans="1:8" x14ac:dyDescent="0.2">
      <c r="A46" s="51" t="s">
        <v>2</v>
      </c>
      <c r="B46" s="51" t="s">
        <v>3</v>
      </c>
      <c r="C46" s="51" t="s">
        <v>4</v>
      </c>
      <c r="D46" s="51" t="s">
        <v>5</v>
      </c>
      <c r="E46" s="51" t="s">
        <v>6</v>
      </c>
      <c r="F46" s="51" t="s">
        <v>146</v>
      </c>
      <c r="G46" s="13" t="s">
        <v>32</v>
      </c>
    </row>
    <row r="47" spans="1:8" ht="30" x14ac:dyDescent="0.3">
      <c r="A47" s="52">
        <v>1</v>
      </c>
      <c r="B47" s="53">
        <v>40592</v>
      </c>
      <c r="C47" s="17" t="s">
        <v>275</v>
      </c>
      <c r="D47" s="54">
        <v>40604</v>
      </c>
      <c r="E47" s="19" t="s">
        <v>276</v>
      </c>
      <c r="F47" s="20" t="s">
        <v>277</v>
      </c>
      <c r="G47" s="21">
        <f>120.62+289.98</f>
        <v>410.6</v>
      </c>
      <c r="H47" s="1" t="s">
        <v>278</v>
      </c>
    </row>
    <row r="48" spans="1:8" ht="15" x14ac:dyDescent="0.3">
      <c r="A48" s="1"/>
      <c r="B48" s="37"/>
      <c r="C48" s="37"/>
      <c r="D48" s="37"/>
      <c r="E48" s="47"/>
      <c r="F48" s="51" t="s">
        <v>155</v>
      </c>
      <c r="G48" s="36">
        <f>SUM(G47:G47)</f>
        <v>410.6</v>
      </c>
    </row>
    <row r="49" spans="1:9" x14ac:dyDescent="0.2">
      <c r="B49" s="35"/>
    </row>
    <row r="50" spans="1:9" x14ac:dyDescent="0.2">
      <c r="B50" s="35"/>
    </row>
    <row r="51" spans="1:9" x14ac:dyDescent="0.2">
      <c r="B51" s="35"/>
    </row>
    <row r="52" spans="1:9" ht="15" customHeight="1" x14ac:dyDescent="0.3">
      <c r="A52" s="29"/>
      <c r="B52" s="30"/>
      <c r="C52" s="37"/>
      <c r="D52" s="30"/>
      <c r="E52" s="5"/>
      <c r="F52" s="207" t="s">
        <v>0</v>
      </c>
      <c r="G52" s="207"/>
    </row>
    <row r="53" spans="1:9" ht="18.75" x14ac:dyDescent="0.3">
      <c r="A53" s="31" t="s">
        <v>1</v>
      </c>
      <c r="B53" s="29"/>
      <c r="C53" s="37"/>
      <c r="D53" s="30"/>
      <c r="E53" s="5"/>
      <c r="F53" s="29"/>
      <c r="G53" s="29"/>
    </row>
    <row r="54" spans="1:9" ht="15" x14ac:dyDescent="0.3">
      <c r="A54" s="29"/>
      <c r="B54" s="30"/>
      <c r="C54" s="37"/>
      <c r="D54" s="30"/>
      <c r="E54" s="5"/>
      <c r="F54" s="5"/>
      <c r="G54" s="32"/>
    </row>
    <row r="55" spans="1:9" ht="15" x14ac:dyDescent="0.3">
      <c r="A55" s="29"/>
      <c r="B55" s="30"/>
      <c r="C55" s="37"/>
      <c r="D55" s="30"/>
      <c r="E55" s="5"/>
      <c r="F55" s="5"/>
      <c r="G55" s="32"/>
    </row>
    <row r="56" spans="1:9" ht="18" x14ac:dyDescent="0.25">
      <c r="A56" s="208" t="s">
        <v>279</v>
      </c>
      <c r="B56" s="208"/>
      <c r="C56" s="208"/>
      <c r="D56" s="208"/>
      <c r="E56" s="208"/>
      <c r="F56" s="208"/>
      <c r="G56" s="208"/>
    </row>
    <row r="57" spans="1:9" ht="18" x14ac:dyDescent="0.25">
      <c r="A57" s="208" t="s">
        <v>157</v>
      </c>
      <c r="B57" s="208"/>
      <c r="C57" s="208"/>
      <c r="D57" s="208"/>
      <c r="E57" s="208"/>
      <c r="F57" s="208"/>
      <c r="G57" s="208"/>
    </row>
    <row r="58" spans="1:9" ht="15" x14ac:dyDescent="0.3">
      <c r="A58" s="29"/>
      <c r="B58" s="9"/>
      <c r="C58" s="9"/>
      <c r="D58" s="9"/>
      <c r="E58" s="9"/>
      <c r="F58" s="10"/>
      <c r="G58" s="11"/>
    </row>
    <row r="59" spans="1:9" x14ac:dyDescent="0.2">
      <c r="A59" s="12" t="s">
        <v>2</v>
      </c>
      <c r="B59" s="12" t="s">
        <v>3</v>
      </c>
      <c r="C59" s="13" t="s">
        <v>4</v>
      </c>
      <c r="D59" s="14" t="s">
        <v>25</v>
      </c>
      <c r="E59" s="13" t="s">
        <v>6</v>
      </c>
      <c r="F59" s="13" t="s">
        <v>7</v>
      </c>
      <c r="G59" s="13" t="s">
        <v>32</v>
      </c>
      <c r="H59" s="13" t="s">
        <v>8</v>
      </c>
    </row>
    <row r="60" spans="1:9" ht="51" customHeight="1" x14ac:dyDescent="0.3">
      <c r="A60" s="15">
        <v>1</v>
      </c>
      <c r="B60" s="16">
        <v>40606</v>
      </c>
      <c r="C60" s="17" t="s">
        <v>173</v>
      </c>
      <c r="D60" s="18" t="s">
        <v>280</v>
      </c>
      <c r="E60" s="19" t="s">
        <v>281</v>
      </c>
      <c r="F60" s="20" t="s">
        <v>282</v>
      </c>
      <c r="G60" s="21">
        <v>2514.92</v>
      </c>
      <c r="H60" s="21">
        <v>0</v>
      </c>
      <c r="I60" t="s">
        <v>27</v>
      </c>
    </row>
    <row r="61" spans="1:9" ht="51" customHeight="1" x14ac:dyDescent="0.3">
      <c r="A61" s="15">
        <v>2</v>
      </c>
      <c r="B61" s="16">
        <v>40606</v>
      </c>
      <c r="C61" s="17" t="s">
        <v>173</v>
      </c>
      <c r="D61" s="18" t="s">
        <v>283</v>
      </c>
      <c r="E61" s="19" t="s">
        <v>281</v>
      </c>
      <c r="F61" s="20" t="s">
        <v>282</v>
      </c>
      <c r="G61" s="21">
        <v>0</v>
      </c>
      <c r="H61" s="21">
        <v>3176.11</v>
      </c>
      <c r="I61" t="s">
        <v>27</v>
      </c>
    </row>
    <row r="62" spans="1:9" ht="51" customHeight="1" x14ac:dyDescent="0.3">
      <c r="A62" s="15">
        <v>3</v>
      </c>
      <c r="B62" s="16">
        <v>40606</v>
      </c>
      <c r="C62" s="17" t="s">
        <v>173</v>
      </c>
      <c r="D62" s="18" t="s">
        <v>284</v>
      </c>
      <c r="E62" s="19" t="s">
        <v>281</v>
      </c>
      <c r="F62" s="20" t="s">
        <v>285</v>
      </c>
      <c r="G62" s="21">
        <v>657.79</v>
      </c>
      <c r="H62" s="21">
        <v>0</v>
      </c>
      <c r="I62" t="s">
        <v>27</v>
      </c>
    </row>
    <row r="63" spans="1:9" ht="51" customHeight="1" x14ac:dyDescent="0.3">
      <c r="A63" s="15">
        <v>4</v>
      </c>
      <c r="B63" s="16">
        <v>40606</v>
      </c>
      <c r="C63" s="17" t="s">
        <v>173</v>
      </c>
      <c r="D63" s="18" t="s">
        <v>286</v>
      </c>
      <c r="E63" s="19" t="s">
        <v>281</v>
      </c>
      <c r="F63" s="20" t="s">
        <v>285</v>
      </c>
      <c r="G63" s="21">
        <v>0</v>
      </c>
      <c r="H63" s="21">
        <v>1656.98</v>
      </c>
      <c r="I63" t="s">
        <v>27</v>
      </c>
    </row>
    <row r="64" spans="1:9" ht="51" customHeight="1" x14ac:dyDescent="0.3">
      <c r="A64" s="15">
        <v>5</v>
      </c>
      <c r="B64" s="16">
        <v>40605</v>
      </c>
      <c r="C64" s="17" t="s">
        <v>29</v>
      </c>
      <c r="D64" s="18" t="s">
        <v>287</v>
      </c>
      <c r="E64" s="19" t="s">
        <v>160</v>
      </c>
      <c r="F64" s="20" t="s">
        <v>288</v>
      </c>
      <c r="G64" s="21">
        <f>7542*2.778+0.32</f>
        <v>20951.995999999999</v>
      </c>
      <c r="H64" s="21">
        <v>0</v>
      </c>
      <c r="I64" t="s">
        <v>27</v>
      </c>
    </row>
    <row r="65" spans="1:9" ht="51" customHeight="1" x14ac:dyDescent="0.3">
      <c r="A65" s="15">
        <v>6</v>
      </c>
      <c r="B65" s="16">
        <v>40605</v>
      </c>
      <c r="C65" s="17" t="s">
        <v>29</v>
      </c>
      <c r="D65" s="18" t="s">
        <v>289</v>
      </c>
      <c r="E65" s="19" t="s">
        <v>160</v>
      </c>
      <c r="F65" s="20" t="s">
        <v>290</v>
      </c>
      <c r="G65" s="21">
        <v>4791</v>
      </c>
      <c r="H65" s="21">
        <v>0</v>
      </c>
      <c r="I65" t="s">
        <v>27</v>
      </c>
    </row>
    <row r="66" spans="1:9" ht="51" customHeight="1" x14ac:dyDescent="0.3">
      <c r="A66" s="15">
        <v>7</v>
      </c>
      <c r="B66" s="16">
        <v>40605</v>
      </c>
      <c r="C66" s="17" t="s">
        <v>29</v>
      </c>
      <c r="D66" s="18" t="s">
        <v>291</v>
      </c>
      <c r="E66" s="19" t="s">
        <v>160</v>
      </c>
      <c r="F66" s="20" t="s">
        <v>292</v>
      </c>
      <c r="G66" s="21">
        <f>2953*2.778-0.43</f>
        <v>8203.003999999999</v>
      </c>
      <c r="H66" s="21">
        <v>0</v>
      </c>
      <c r="I66" t="s">
        <v>27</v>
      </c>
    </row>
    <row r="67" spans="1:9" ht="51" customHeight="1" x14ac:dyDescent="0.3">
      <c r="A67" s="15">
        <v>8</v>
      </c>
      <c r="B67" s="16">
        <v>40605</v>
      </c>
      <c r="C67" s="17" t="s">
        <v>29</v>
      </c>
      <c r="D67" s="18" t="s">
        <v>293</v>
      </c>
      <c r="E67" s="19" t="s">
        <v>160</v>
      </c>
      <c r="F67" s="20" t="s">
        <v>294</v>
      </c>
      <c r="G67" s="21">
        <v>1699</v>
      </c>
      <c r="H67" s="21">
        <v>0</v>
      </c>
      <c r="I67" t="s">
        <v>27</v>
      </c>
    </row>
    <row r="68" spans="1:9" ht="51" customHeight="1" x14ac:dyDescent="0.3">
      <c r="A68" s="15">
        <v>9</v>
      </c>
      <c r="B68" s="16">
        <v>40605</v>
      </c>
      <c r="C68" s="17" t="s">
        <v>173</v>
      </c>
      <c r="D68" s="18" t="s">
        <v>295</v>
      </c>
      <c r="E68" s="19" t="s">
        <v>296</v>
      </c>
      <c r="F68" s="20" t="s">
        <v>297</v>
      </c>
      <c r="G68" s="21">
        <v>193.52</v>
      </c>
      <c r="H68" s="21">
        <v>0</v>
      </c>
      <c r="I68" t="s">
        <v>27</v>
      </c>
    </row>
    <row r="69" spans="1:9" ht="51" customHeight="1" x14ac:dyDescent="0.3">
      <c r="A69" s="15">
        <v>10</v>
      </c>
      <c r="B69" s="16">
        <v>40605</v>
      </c>
      <c r="C69" s="17" t="s">
        <v>173</v>
      </c>
      <c r="D69" s="18" t="s">
        <v>298</v>
      </c>
      <c r="E69" s="19" t="s">
        <v>296</v>
      </c>
      <c r="F69" s="20" t="s">
        <v>299</v>
      </c>
      <c r="G69" s="21">
        <v>0</v>
      </c>
      <c r="H69" s="21">
        <v>459.06</v>
      </c>
      <c r="I69" t="s">
        <v>27</v>
      </c>
    </row>
    <row r="70" spans="1:9" ht="15" x14ac:dyDescent="0.3">
      <c r="A70" s="29"/>
      <c r="B70" s="30"/>
      <c r="C70" s="37"/>
      <c r="D70" s="30"/>
      <c r="E70" s="5"/>
      <c r="F70" s="46" t="s">
        <v>24</v>
      </c>
      <c r="G70" s="36">
        <f>SUM(G60:G69)</f>
        <v>39011.229999999996</v>
      </c>
      <c r="H70" s="27">
        <f>SUM(H60:H69)</f>
        <v>5292.1500000000005</v>
      </c>
    </row>
    <row r="71" spans="1:9" x14ac:dyDescent="0.2">
      <c r="B71" s="35"/>
    </row>
    <row r="72" spans="1:9" x14ac:dyDescent="0.2">
      <c r="B72" s="35"/>
    </row>
    <row r="73" spans="1:9" x14ac:dyDescent="0.2">
      <c r="B73" s="35"/>
    </row>
    <row r="74" spans="1:9" x14ac:dyDescent="0.2">
      <c r="A74" s="211" t="s">
        <v>300</v>
      </c>
      <c r="B74" s="211"/>
      <c r="C74" s="211"/>
      <c r="D74" s="211"/>
      <c r="E74" s="211"/>
      <c r="F74" s="211"/>
      <c r="G74" s="211"/>
    </row>
    <row r="75" spans="1:9" x14ac:dyDescent="0.2">
      <c r="A75" s="211"/>
      <c r="B75" s="211"/>
      <c r="C75" s="211"/>
      <c r="D75" s="211"/>
      <c r="E75" s="211"/>
      <c r="F75" s="211"/>
      <c r="G75" s="211"/>
    </row>
    <row r="76" spans="1:9" x14ac:dyDescent="0.2">
      <c r="A76" s="211"/>
      <c r="B76" s="211"/>
      <c r="C76" s="211"/>
      <c r="D76" s="211"/>
      <c r="E76" s="211"/>
      <c r="F76" s="211"/>
      <c r="G76" s="211"/>
    </row>
    <row r="77" spans="1:9" x14ac:dyDescent="0.2">
      <c r="B77" s="35"/>
    </row>
    <row r="78" spans="1:9" ht="15" customHeight="1" x14ac:dyDescent="0.3">
      <c r="A78" s="1"/>
      <c r="B78" s="2"/>
      <c r="C78" s="3"/>
      <c r="D78" s="4"/>
      <c r="E78" s="5"/>
      <c r="F78" s="207" t="s">
        <v>0</v>
      </c>
      <c r="G78" s="207"/>
    </row>
    <row r="79" spans="1:9" ht="18.75" x14ac:dyDescent="0.3">
      <c r="A79" s="7" t="s">
        <v>1</v>
      </c>
      <c r="B79" s="7"/>
      <c r="C79" s="3"/>
      <c r="D79" s="4"/>
      <c r="E79" s="5"/>
      <c r="F79" s="5"/>
      <c r="G79" s="8"/>
    </row>
    <row r="80" spans="1:9" ht="15" x14ac:dyDescent="0.3">
      <c r="A80" s="1"/>
      <c r="B80" s="2"/>
      <c r="C80" s="3"/>
      <c r="D80" s="4"/>
      <c r="E80" s="5"/>
      <c r="F80" s="5"/>
      <c r="G80" s="8"/>
    </row>
    <row r="81" spans="1:13" ht="15" x14ac:dyDescent="0.3">
      <c r="A81" s="1"/>
      <c r="B81" s="2"/>
      <c r="C81" s="3"/>
      <c r="D81" s="4"/>
      <c r="E81" s="5"/>
      <c r="F81" s="5"/>
      <c r="G81" s="8"/>
    </row>
    <row r="82" spans="1:13" ht="18" x14ac:dyDescent="0.25">
      <c r="A82" s="208" t="s">
        <v>215</v>
      </c>
      <c r="B82" s="208"/>
      <c r="C82" s="208"/>
      <c r="D82" s="208"/>
      <c r="E82" s="208"/>
      <c r="F82" s="208"/>
      <c r="G82" s="208"/>
    </row>
    <row r="83" spans="1:13" ht="15" x14ac:dyDescent="0.3">
      <c r="A83" s="1"/>
      <c r="B83" s="9"/>
      <c r="C83" s="9"/>
      <c r="D83" s="9"/>
      <c r="E83" s="9"/>
      <c r="F83" s="10"/>
      <c r="G83" s="11"/>
    </row>
    <row r="84" spans="1:13" x14ac:dyDescent="0.2">
      <c r="A84" s="12" t="s">
        <v>2</v>
      </c>
      <c r="B84" s="12" t="s">
        <v>3</v>
      </c>
      <c r="C84" s="13" t="s">
        <v>4</v>
      </c>
      <c r="D84" s="14" t="s">
        <v>5</v>
      </c>
      <c r="E84" s="13" t="s">
        <v>6</v>
      </c>
      <c r="F84" s="13" t="s">
        <v>7</v>
      </c>
      <c r="G84" s="13" t="s">
        <v>32</v>
      </c>
    </row>
    <row r="85" spans="1:13" ht="30" customHeight="1" x14ac:dyDescent="0.3">
      <c r="A85" s="15">
        <v>11</v>
      </c>
      <c r="B85" s="16">
        <v>40575</v>
      </c>
      <c r="C85" s="17" t="s">
        <v>301</v>
      </c>
      <c r="D85" s="18">
        <f>+B85+15</f>
        <v>40590</v>
      </c>
      <c r="E85" s="19" t="s">
        <v>302</v>
      </c>
      <c r="F85" s="19" t="s">
        <v>303</v>
      </c>
      <c r="G85" s="21">
        <v>476</v>
      </c>
      <c r="J85" s="57"/>
      <c r="K85" s="57"/>
      <c r="L85" s="57"/>
      <c r="M85" s="57"/>
    </row>
    <row r="86" spans="1:13" ht="15" x14ac:dyDescent="0.2">
      <c r="A86" s="22"/>
      <c r="B86" s="22"/>
      <c r="C86" s="23"/>
      <c r="D86" s="24"/>
      <c r="E86" s="25"/>
      <c r="F86" s="26" t="s">
        <v>24</v>
      </c>
      <c r="G86" s="36">
        <f>SUM(G82:G85)</f>
        <v>476</v>
      </c>
    </row>
    <row r="93" spans="1:13" ht="15" customHeight="1" x14ac:dyDescent="0.3">
      <c r="A93" s="29"/>
      <c r="B93" s="30"/>
      <c r="C93" s="37"/>
      <c r="D93" s="30"/>
      <c r="E93" s="5"/>
      <c r="F93" s="207" t="s">
        <v>0</v>
      </c>
      <c r="G93" s="207"/>
    </row>
    <row r="94" spans="1:13" ht="18.75" x14ac:dyDescent="0.3">
      <c r="A94" s="31" t="s">
        <v>1</v>
      </c>
      <c r="B94" s="29"/>
      <c r="C94" s="37"/>
      <c r="D94" s="30"/>
      <c r="E94" s="5"/>
      <c r="F94" s="29"/>
      <c r="G94" s="29"/>
    </row>
    <row r="95" spans="1:13" ht="15" x14ac:dyDescent="0.3">
      <c r="A95" s="29"/>
      <c r="B95" s="30"/>
      <c r="C95" s="37"/>
      <c r="D95" s="30"/>
      <c r="E95" s="5"/>
      <c r="F95" s="5"/>
      <c r="G95" s="32"/>
    </row>
    <row r="96" spans="1:13" ht="15" x14ac:dyDescent="0.3">
      <c r="A96" s="29"/>
      <c r="B96" s="30"/>
      <c r="C96" s="37"/>
      <c r="D96" s="30"/>
      <c r="E96" s="5"/>
      <c r="F96" s="5"/>
      <c r="G96" s="32"/>
    </row>
    <row r="97" spans="1:8" ht="18" x14ac:dyDescent="0.25">
      <c r="A97" s="208" t="s">
        <v>238</v>
      </c>
      <c r="B97" s="208"/>
      <c r="C97" s="208"/>
      <c r="D97" s="208"/>
      <c r="E97" s="208"/>
      <c r="F97" s="208"/>
      <c r="G97" s="208"/>
    </row>
    <row r="98" spans="1:8" ht="15" x14ac:dyDescent="0.3">
      <c r="A98" s="29"/>
      <c r="B98" s="9"/>
      <c r="C98" s="9"/>
      <c r="D98" s="9"/>
      <c r="E98" s="9"/>
      <c r="F98" s="10"/>
      <c r="G98" s="11"/>
    </row>
    <row r="99" spans="1:8" x14ac:dyDescent="0.2">
      <c r="A99" s="12" t="s">
        <v>2</v>
      </c>
      <c r="B99" s="12" t="s">
        <v>3</v>
      </c>
      <c r="C99" s="13" t="s">
        <v>4</v>
      </c>
      <c r="D99" s="14" t="s">
        <v>25</v>
      </c>
      <c r="E99" s="13" t="s">
        <v>6</v>
      </c>
      <c r="F99" s="13" t="s">
        <v>7</v>
      </c>
      <c r="G99" s="13" t="s">
        <v>32</v>
      </c>
    </row>
    <row r="100" spans="1:8" ht="30" x14ac:dyDescent="0.3">
      <c r="A100" s="52">
        <v>1</v>
      </c>
      <c r="B100" s="53">
        <v>40576</v>
      </c>
      <c r="C100" s="17" t="s">
        <v>304</v>
      </c>
      <c r="D100" s="18">
        <v>40605</v>
      </c>
      <c r="E100" s="19" t="s">
        <v>305</v>
      </c>
      <c r="F100" s="20" t="s">
        <v>306</v>
      </c>
      <c r="G100" s="21">
        <v>742.56</v>
      </c>
      <c r="H100" t="s">
        <v>27</v>
      </c>
    </row>
    <row r="101" spans="1:8" ht="15" x14ac:dyDescent="0.3">
      <c r="A101" s="29"/>
      <c r="B101" s="30"/>
      <c r="C101" s="37"/>
      <c r="D101" s="30"/>
      <c r="E101" s="5"/>
      <c r="F101" s="46" t="s">
        <v>24</v>
      </c>
      <c r="G101" s="36">
        <f>SUM(G100:G100)</f>
        <v>742.56</v>
      </c>
    </row>
  </sheetData>
  <sheetProtection selectLockedCells="1" selectUnlockedCells="1"/>
  <mergeCells count="14">
    <mergeCell ref="A44:G44"/>
    <mergeCell ref="F93:G93"/>
    <mergeCell ref="A97:G97"/>
    <mergeCell ref="F52:G52"/>
    <mergeCell ref="A56:G56"/>
    <mergeCell ref="A57:G57"/>
    <mergeCell ref="A74:G76"/>
    <mergeCell ref="F78:G78"/>
    <mergeCell ref="A82:G82"/>
    <mergeCell ref="F1:G1"/>
    <mergeCell ref="A5:G5"/>
    <mergeCell ref="F21:G21"/>
    <mergeCell ref="A25:G25"/>
    <mergeCell ref="A41:E41"/>
  </mergeCells>
  <printOptions horizontalCentered="1"/>
  <pageMargins left="0" right="0" top="0.74791666666666667" bottom="0.74791666666666667" header="0.51180555555555551" footer="0.51180555555555551"/>
  <pageSetup paperSize="9" scale="80" firstPageNumber="0" orientation="portrait" horizontalDpi="300" verticalDpi="300" r:id="rId1"/>
  <headerFooter alignWithMargins="0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>
    <pageSetUpPr fitToPage="1"/>
  </sheetPr>
  <dimension ref="A1:J51"/>
  <sheetViews>
    <sheetView workbookViewId="0">
      <selection activeCell="A37" sqref="A37"/>
    </sheetView>
  </sheetViews>
  <sheetFormatPr baseColWidth="10" defaultColWidth="10.7109375" defaultRowHeight="12.75" x14ac:dyDescent="0.2"/>
  <cols>
    <col min="1" max="1" width="3.85546875" customWidth="1"/>
    <col min="2" max="2" width="13.85546875" customWidth="1"/>
    <col min="3" max="3" width="15.5703125" customWidth="1"/>
    <col min="4" max="4" width="14.42578125" customWidth="1"/>
    <col min="5" max="5" width="27.140625" customWidth="1"/>
    <col min="6" max="6" width="31" customWidth="1"/>
    <col min="7" max="7" width="13.28515625" customWidth="1"/>
  </cols>
  <sheetData>
    <row r="1" spans="1:7" ht="15" customHeight="1" x14ac:dyDescent="0.3">
      <c r="A1" s="1"/>
      <c r="B1" s="2"/>
      <c r="C1" s="3"/>
      <c r="D1" s="4"/>
      <c r="E1" s="5"/>
      <c r="F1" s="207" t="s">
        <v>0</v>
      </c>
      <c r="G1" s="207"/>
    </row>
    <row r="2" spans="1:7" ht="18.75" x14ac:dyDescent="0.3">
      <c r="A2" s="7" t="s">
        <v>1</v>
      </c>
      <c r="B2" s="7"/>
      <c r="C2" s="3"/>
      <c r="D2" s="4"/>
      <c r="E2" s="5"/>
      <c r="F2" s="5"/>
      <c r="G2" s="8"/>
    </row>
    <row r="3" spans="1:7" ht="15" x14ac:dyDescent="0.3">
      <c r="A3" s="1"/>
      <c r="B3" s="2"/>
      <c r="C3" s="3"/>
      <c r="D3" s="4"/>
      <c r="E3" s="5"/>
      <c r="F3" s="5"/>
      <c r="G3" s="8"/>
    </row>
    <row r="4" spans="1:7" ht="15" x14ac:dyDescent="0.3">
      <c r="A4" s="1"/>
      <c r="B4" s="2"/>
      <c r="C4" s="3"/>
      <c r="D4" s="4"/>
      <c r="E4" s="5"/>
      <c r="F4" s="5"/>
      <c r="G4" s="8"/>
    </row>
    <row r="5" spans="1:7" ht="18" x14ac:dyDescent="0.25">
      <c r="A5" s="208" t="s">
        <v>1791</v>
      </c>
      <c r="B5" s="208"/>
      <c r="C5" s="208"/>
      <c r="D5" s="208"/>
      <c r="E5" s="208"/>
      <c r="F5" s="208"/>
      <c r="G5" s="208"/>
    </row>
    <row r="6" spans="1:7" ht="15" x14ac:dyDescent="0.3">
      <c r="A6" s="1"/>
      <c r="B6" s="9"/>
      <c r="C6" s="9"/>
      <c r="D6" s="9"/>
      <c r="E6" s="9"/>
      <c r="F6" s="10"/>
      <c r="G6" s="11"/>
    </row>
    <row r="7" spans="1:7" x14ac:dyDescent="0.2">
      <c r="A7" s="12" t="s">
        <v>2</v>
      </c>
      <c r="B7" s="12" t="s">
        <v>3</v>
      </c>
      <c r="C7" s="13" t="s">
        <v>4</v>
      </c>
      <c r="D7" s="14" t="s">
        <v>5</v>
      </c>
      <c r="E7" s="13" t="s">
        <v>6</v>
      </c>
      <c r="F7" s="13" t="s">
        <v>7</v>
      </c>
      <c r="G7" s="13" t="s">
        <v>8</v>
      </c>
    </row>
    <row r="8" spans="1:7" ht="15" x14ac:dyDescent="0.3">
      <c r="A8" s="15">
        <v>1</v>
      </c>
      <c r="B8" s="16">
        <v>40868</v>
      </c>
      <c r="C8" s="33" t="s">
        <v>1792</v>
      </c>
      <c r="D8" s="18">
        <f>+B8+15</f>
        <v>40883</v>
      </c>
      <c r="E8" s="19" t="s">
        <v>17</v>
      </c>
      <c r="F8" s="19" t="s">
        <v>1624</v>
      </c>
      <c r="G8" s="21">
        <v>211.69</v>
      </c>
    </row>
    <row r="9" spans="1:7" ht="30" x14ac:dyDescent="0.3">
      <c r="A9" s="15">
        <v>2</v>
      </c>
      <c r="B9" s="16">
        <v>40849</v>
      </c>
      <c r="C9" s="33" t="s">
        <v>1406</v>
      </c>
      <c r="D9" s="18">
        <f>+B9+15</f>
        <v>40864</v>
      </c>
      <c r="E9" s="19" t="s">
        <v>281</v>
      </c>
      <c r="F9" s="19" t="s">
        <v>1762</v>
      </c>
      <c r="G9" s="21">
        <v>436.94</v>
      </c>
    </row>
    <row r="10" spans="1:7" ht="30" x14ac:dyDescent="0.3">
      <c r="A10" s="15">
        <v>3</v>
      </c>
      <c r="B10" s="16">
        <v>40854</v>
      </c>
      <c r="C10" s="33" t="s">
        <v>1406</v>
      </c>
      <c r="D10" s="18">
        <f>+B10+15</f>
        <v>40869</v>
      </c>
      <c r="E10" s="19" t="s">
        <v>281</v>
      </c>
      <c r="F10" s="19" t="s">
        <v>1763</v>
      </c>
      <c r="G10" s="21">
        <v>336.93</v>
      </c>
    </row>
    <row r="11" spans="1:7" ht="30" x14ac:dyDescent="0.3">
      <c r="A11" s="15">
        <v>4</v>
      </c>
      <c r="B11" s="16">
        <v>40851</v>
      </c>
      <c r="C11" s="33" t="s">
        <v>1406</v>
      </c>
      <c r="D11" s="18">
        <f>+B11+15</f>
        <v>40866</v>
      </c>
      <c r="E11" s="19" t="s">
        <v>1764</v>
      </c>
      <c r="F11" s="19" t="s">
        <v>1765</v>
      </c>
      <c r="G11" s="21">
        <v>630.11</v>
      </c>
    </row>
    <row r="12" spans="1:7" ht="15" x14ac:dyDescent="0.2">
      <c r="A12" s="22"/>
      <c r="B12" s="22"/>
      <c r="C12" s="23"/>
      <c r="D12" s="24"/>
      <c r="E12" s="25"/>
      <c r="F12" s="26" t="s">
        <v>24</v>
      </c>
      <c r="G12" s="27">
        <f>SUM(G8:G11)</f>
        <v>1615.67</v>
      </c>
    </row>
    <row r="13" spans="1:7" ht="15" x14ac:dyDescent="0.2">
      <c r="A13" s="22"/>
      <c r="B13" s="22"/>
      <c r="C13" s="23"/>
      <c r="D13" s="24"/>
      <c r="E13" s="25"/>
      <c r="F13" s="55"/>
      <c r="G13" s="68"/>
    </row>
    <row r="14" spans="1:7" ht="15" x14ac:dyDescent="0.2">
      <c r="A14" s="22"/>
      <c r="B14" s="22"/>
      <c r="C14" s="23"/>
      <c r="D14" s="24"/>
      <c r="E14" s="25"/>
      <c r="F14" s="55"/>
      <c r="G14" s="68"/>
    </row>
    <row r="15" spans="1:7" ht="15" customHeight="1" x14ac:dyDescent="0.3">
      <c r="A15" s="29"/>
      <c r="B15" s="30"/>
      <c r="C15" s="37"/>
      <c r="D15" s="30"/>
      <c r="E15" s="5"/>
      <c r="F15" s="207" t="s">
        <v>0</v>
      </c>
      <c r="G15" s="207"/>
    </row>
    <row r="16" spans="1:7" ht="18.75" x14ac:dyDescent="0.3">
      <c r="A16" s="31" t="s">
        <v>1</v>
      </c>
      <c r="B16" s="29"/>
      <c r="C16" s="37"/>
      <c r="D16" s="30"/>
      <c r="E16" s="5"/>
      <c r="F16" s="29"/>
      <c r="G16" s="29"/>
    </row>
    <row r="17" spans="1:10" ht="15" x14ac:dyDescent="0.3">
      <c r="A17" s="29"/>
      <c r="B17" s="30"/>
      <c r="C17" s="37"/>
      <c r="D17" s="30"/>
      <c r="E17" s="5"/>
      <c r="F17" s="5"/>
      <c r="G17" s="32"/>
    </row>
    <row r="18" spans="1:10" ht="15" x14ac:dyDescent="0.3">
      <c r="A18" s="29"/>
      <c r="B18" s="30"/>
      <c r="C18" s="37"/>
      <c r="D18" s="30"/>
      <c r="E18" s="5"/>
      <c r="F18" s="5"/>
      <c r="G18" s="32"/>
    </row>
    <row r="19" spans="1:10" ht="18" x14ac:dyDescent="0.25">
      <c r="A19" s="208" t="s">
        <v>1793</v>
      </c>
      <c r="B19" s="208"/>
      <c r="C19" s="208"/>
      <c r="D19" s="208"/>
      <c r="E19" s="208"/>
      <c r="F19" s="208"/>
      <c r="G19" s="208"/>
      <c r="H19" s="35"/>
      <c r="I19" s="35"/>
    </row>
    <row r="20" spans="1:10" ht="15" x14ac:dyDescent="0.3">
      <c r="A20" s="29"/>
      <c r="B20" s="9"/>
      <c r="C20" s="9"/>
      <c r="D20" s="9"/>
      <c r="E20" s="9"/>
      <c r="F20" s="10"/>
      <c r="G20" s="11"/>
    </row>
    <row r="21" spans="1:10" x14ac:dyDescent="0.2">
      <c r="A21" s="12" t="s">
        <v>2</v>
      </c>
      <c r="B21" s="12" t="s">
        <v>3</v>
      </c>
      <c r="C21" s="13" t="s">
        <v>4</v>
      </c>
      <c r="D21" s="14" t="s">
        <v>25</v>
      </c>
      <c r="E21" s="13" t="s">
        <v>6</v>
      </c>
      <c r="F21" s="13" t="s">
        <v>7</v>
      </c>
      <c r="G21" s="13" t="s">
        <v>8</v>
      </c>
      <c r="J21" s="106"/>
    </row>
    <row r="22" spans="1:10" ht="45" x14ac:dyDescent="0.3">
      <c r="A22" s="15">
        <v>1</v>
      </c>
      <c r="B22" s="16">
        <v>40581</v>
      </c>
      <c r="C22" s="33" t="s">
        <v>29</v>
      </c>
      <c r="D22" s="18" t="s">
        <v>1794</v>
      </c>
      <c r="E22" s="19" t="s">
        <v>208</v>
      </c>
      <c r="F22" s="19" t="s">
        <v>1795</v>
      </c>
      <c r="G22" s="21">
        <v>11254.71</v>
      </c>
      <c r="H22" t="s">
        <v>27</v>
      </c>
      <c r="I22" s="35">
        <v>40884</v>
      </c>
    </row>
    <row r="23" spans="1:10" ht="15" x14ac:dyDescent="0.3">
      <c r="A23" s="15">
        <v>2</v>
      </c>
      <c r="B23" s="16">
        <v>40894</v>
      </c>
      <c r="C23" s="33" t="s">
        <v>1796</v>
      </c>
      <c r="D23" s="18" t="s">
        <v>1797</v>
      </c>
      <c r="E23" s="19" t="s">
        <v>1798</v>
      </c>
      <c r="F23" s="19" t="s">
        <v>450</v>
      </c>
      <c r="G23" s="21">
        <v>9476</v>
      </c>
      <c r="H23" t="s">
        <v>27</v>
      </c>
    </row>
    <row r="24" spans="1:10" ht="15" x14ac:dyDescent="0.3">
      <c r="A24" s="29"/>
      <c r="B24" s="30"/>
      <c r="C24" s="37"/>
      <c r="D24" s="30"/>
      <c r="E24" s="5"/>
      <c r="F24" s="46" t="s">
        <v>24</v>
      </c>
      <c r="G24" s="103">
        <f>SUM(G22:G23)</f>
        <v>20730.71</v>
      </c>
    </row>
    <row r="26" spans="1:10" ht="15" x14ac:dyDescent="0.2">
      <c r="A26" s="22"/>
      <c r="B26" s="22"/>
      <c r="C26" s="23"/>
      <c r="D26" s="24"/>
      <c r="E26" s="25"/>
      <c r="F26" s="55"/>
      <c r="G26" s="68"/>
    </row>
    <row r="27" spans="1:10" ht="15" customHeight="1" x14ac:dyDescent="0.3">
      <c r="A27" s="29"/>
      <c r="B27" s="30"/>
      <c r="C27" s="37"/>
      <c r="D27" s="30"/>
      <c r="E27" s="5"/>
      <c r="F27" s="207" t="s">
        <v>0</v>
      </c>
      <c r="G27" s="207"/>
    </row>
    <row r="28" spans="1:10" ht="18.75" x14ac:dyDescent="0.3">
      <c r="A28" s="31" t="s">
        <v>1</v>
      </c>
      <c r="B28" s="29"/>
      <c r="C28" s="37"/>
      <c r="D28" s="30"/>
      <c r="E28" s="5"/>
      <c r="F28" s="29"/>
      <c r="G28" s="29"/>
    </row>
    <row r="29" spans="1:10" ht="15" x14ac:dyDescent="0.3">
      <c r="A29" s="29"/>
      <c r="B29" s="30"/>
      <c r="C29" s="37"/>
      <c r="D29" s="30"/>
      <c r="E29" s="5"/>
      <c r="F29" s="5"/>
      <c r="G29" s="32"/>
    </row>
    <row r="30" spans="1:10" ht="15" x14ac:dyDescent="0.3">
      <c r="A30" s="29"/>
      <c r="B30" s="30"/>
      <c r="C30" s="37"/>
      <c r="D30" s="30"/>
      <c r="E30" s="5"/>
      <c r="F30" s="5"/>
      <c r="G30" s="32"/>
    </row>
    <row r="31" spans="1:10" ht="18" x14ac:dyDescent="0.25">
      <c r="A31" s="208" t="s">
        <v>1799</v>
      </c>
      <c r="B31" s="208"/>
      <c r="C31" s="208"/>
      <c r="D31" s="208"/>
      <c r="E31" s="208"/>
      <c r="F31" s="208"/>
      <c r="G31" s="208"/>
      <c r="H31" s="35"/>
      <c r="I31" s="35"/>
    </row>
    <row r="32" spans="1:10" ht="15" x14ac:dyDescent="0.3">
      <c r="A32" s="29"/>
      <c r="B32" s="9"/>
      <c r="C32" s="9"/>
      <c r="D32" s="9"/>
      <c r="E32" s="9"/>
      <c r="F32" s="10"/>
      <c r="G32" s="11"/>
    </row>
    <row r="33" spans="1:10" x14ac:dyDescent="0.2">
      <c r="A33" s="12" t="s">
        <v>2</v>
      </c>
      <c r="B33" s="12" t="s">
        <v>3</v>
      </c>
      <c r="C33" s="13" t="s">
        <v>4</v>
      </c>
      <c r="D33" s="14" t="s">
        <v>5</v>
      </c>
      <c r="E33" s="13" t="s">
        <v>6</v>
      </c>
      <c r="F33" s="13" t="s">
        <v>1800</v>
      </c>
      <c r="G33" s="13" t="s">
        <v>8</v>
      </c>
      <c r="J33" s="106"/>
    </row>
    <row r="34" spans="1:10" ht="30" x14ac:dyDescent="0.3">
      <c r="A34" s="15">
        <v>1</v>
      </c>
      <c r="B34" s="16">
        <v>40841</v>
      </c>
      <c r="C34" s="33" t="s">
        <v>1801</v>
      </c>
      <c r="D34" s="18">
        <v>40903</v>
      </c>
      <c r="E34" s="19" t="s">
        <v>669</v>
      </c>
      <c r="F34" s="19" t="s">
        <v>306</v>
      </c>
      <c r="G34" s="21">
        <v>51642.58</v>
      </c>
      <c r="H34" t="s">
        <v>1802</v>
      </c>
      <c r="I34" t="s">
        <v>27</v>
      </c>
    </row>
    <row r="35" spans="1:10" ht="15" x14ac:dyDescent="0.3">
      <c r="A35" s="29"/>
      <c r="B35" s="30"/>
      <c r="C35" s="37"/>
      <c r="D35" s="30"/>
      <c r="E35" s="5"/>
      <c r="F35" s="46" t="s">
        <v>24</v>
      </c>
      <c r="G35" s="103">
        <f>SUM(G34:G34)</f>
        <v>51642.58</v>
      </c>
    </row>
    <row r="36" spans="1:10" ht="15" x14ac:dyDescent="0.2">
      <c r="A36" s="22"/>
      <c r="B36" s="22"/>
      <c r="C36" s="23"/>
      <c r="D36" s="24"/>
      <c r="E36" s="25"/>
      <c r="F36" s="55"/>
      <c r="G36" s="68"/>
    </row>
    <row r="37" spans="1:10" ht="15" x14ac:dyDescent="0.2">
      <c r="A37" s="22"/>
      <c r="B37" s="22"/>
      <c r="C37" s="23"/>
      <c r="D37" s="24"/>
      <c r="E37" s="25"/>
      <c r="F37" s="55"/>
      <c r="G37" s="68"/>
    </row>
    <row r="39" spans="1:10" x14ac:dyDescent="0.2">
      <c r="A39" s="211" t="s">
        <v>609</v>
      </c>
      <c r="B39" s="211"/>
      <c r="C39" s="211"/>
      <c r="D39" s="211"/>
      <c r="E39" s="211"/>
      <c r="F39" s="211"/>
      <c r="G39" s="211"/>
    </row>
    <row r="40" spans="1:10" x14ac:dyDescent="0.2">
      <c r="A40" s="211"/>
      <c r="B40" s="211"/>
      <c r="C40" s="211"/>
      <c r="D40" s="211"/>
      <c r="E40" s="211"/>
      <c r="F40" s="211"/>
      <c r="G40" s="211"/>
    </row>
    <row r="41" spans="1:10" x14ac:dyDescent="0.2">
      <c r="A41" s="211"/>
      <c r="B41" s="211"/>
      <c r="C41" s="211"/>
      <c r="D41" s="211"/>
      <c r="E41" s="211"/>
      <c r="F41" s="211"/>
      <c r="G41" s="211"/>
    </row>
    <row r="43" spans="1:10" ht="15" customHeight="1" x14ac:dyDescent="0.3">
      <c r="A43" s="29"/>
      <c r="B43" s="30"/>
      <c r="C43" s="37"/>
      <c r="D43" s="30"/>
      <c r="E43" s="5"/>
      <c r="F43" s="207" t="s">
        <v>0</v>
      </c>
      <c r="G43" s="207"/>
    </row>
    <row r="44" spans="1:10" ht="18.75" x14ac:dyDescent="0.3">
      <c r="A44" s="31" t="s">
        <v>1</v>
      </c>
      <c r="B44" s="29"/>
      <c r="C44" s="37"/>
      <c r="D44" s="30"/>
      <c r="E44" s="5"/>
      <c r="F44" s="29"/>
      <c r="G44" s="29"/>
    </row>
    <row r="45" spans="1:10" ht="15" x14ac:dyDescent="0.3">
      <c r="A45" s="29"/>
      <c r="B45" s="30"/>
      <c r="C45" s="37"/>
      <c r="D45" s="30"/>
      <c r="E45" s="5"/>
      <c r="F45" s="5"/>
      <c r="G45" s="32"/>
    </row>
    <row r="46" spans="1:10" ht="15" x14ac:dyDescent="0.3">
      <c r="A46" s="29"/>
      <c r="B46" s="30"/>
      <c r="C46" s="37"/>
      <c r="D46" s="30"/>
      <c r="E46" s="5"/>
      <c r="F46" s="5"/>
      <c r="G46" s="32"/>
    </row>
    <row r="47" spans="1:10" ht="18" x14ac:dyDescent="0.25">
      <c r="A47" s="208" t="s">
        <v>1793</v>
      </c>
      <c r="B47" s="208"/>
      <c r="C47" s="208"/>
      <c r="D47" s="208"/>
      <c r="E47" s="208"/>
      <c r="F47" s="208"/>
      <c r="G47" s="208"/>
      <c r="H47" s="35"/>
      <c r="I47" s="35"/>
    </row>
    <row r="48" spans="1:10" ht="15" x14ac:dyDescent="0.3">
      <c r="A48" s="29"/>
      <c r="B48" s="9"/>
      <c r="C48" s="9"/>
      <c r="D48" s="9"/>
      <c r="E48" s="9"/>
      <c r="F48" s="10"/>
      <c r="G48" s="11"/>
    </row>
    <row r="49" spans="1:9" x14ac:dyDescent="0.2">
      <c r="A49" s="12" t="s">
        <v>2</v>
      </c>
      <c r="B49" s="12" t="s">
        <v>3</v>
      </c>
      <c r="C49" s="13" t="s">
        <v>4</v>
      </c>
      <c r="D49" s="14" t="s">
        <v>25</v>
      </c>
      <c r="E49" s="13" t="s">
        <v>6</v>
      </c>
      <c r="F49" s="13" t="s">
        <v>7</v>
      </c>
      <c r="G49" s="13" t="s">
        <v>8</v>
      </c>
    </row>
    <row r="50" spans="1:9" ht="60" x14ac:dyDescent="0.3">
      <c r="A50" s="52">
        <v>1</v>
      </c>
      <c r="B50" s="53">
        <v>40879</v>
      </c>
      <c r="C50" s="17" t="s">
        <v>1803</v>
      </c>
      <c r="D50" s="18" t="s">
        <v>1804</v>
      </c>
      <c r="E50" s="19" t="s">
        <v>1805</v>
      </c>
      <c r="F50" s="20" t="s">
        <v>1806</v>
      </c>
      <c r="G50" s="21">
        <f>118944/2</f>
        <v>59472</v>
      </c>
      <c r="H50" s="45" t="s">
        <v>27</v>
      </c>
      <c r="I50" s="45" t="s">
        <v>1807</v>
      </c>
    </row>
    <row r="51" spans="1:9" ht="15" x14ac:dyDescent="0.3">
      <c r="A51" s="29"/>
      <c r="B51" s="30"/>
      <c r="C51" s="37"/>
      <c r="D51" s="30"/>
      <c r="E51" s="5"/>
      <c r="F51" s="46" t="s">
        <v>24</v>
      </c>
      <c r="G51" s="103">
        <f>SUM(G50:G50)</f>
        <v>59472</v>
      </c>
    </row>
  </sheetData>
  <sheetProtection selectLockedCells="1" selectUnlockedCells="1"/>
  <mergeCells count="9">
    <mergeCell ref="A39:G41"/>
    <mergeCell ref="F43:G43"/>
    <mergeCell ref="A47:G47"/>
    <mergeCell ref="F1:G1"/>
    <mergeCell ref="A5:G5"/>
    <mergeCell ref="F15:G15"/>
    <mergeCell ref="A19:G19"/>
    <mergeCell ref="F27:G27"/>
    <mergeCell ref="A31:G31"/>
  </mergeCells>
  <printOptions horizontalCentered="1"/>
  <pageMargins left="0" right="0" top="0.74791666666666667" bottom="0.74791666666666667" header="0.51180555555555551" footer="0.51180555555555551"/>
  <pageSetup paperSize="9" scale="86" firstPageNumber="0" orientation="portrait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/>
  <dimension ref="A1:H36"/>
  <sheetViews>
    <sheetView workbookViewId="0">
      <selection activeCell="A37" sqref="A37"/>
    </sheetView>
  </sheetViews>
  <sheetFormatPr baseColWidth="10" defaultColWidth="10.7109375" defaultRowHeight="12.75" x14ac:dyDescent="0.2"/>
  <cols>
    <col min="1" max="1" width="3.7109375" customWidth="1"/>
    <col min="2" max="2" width="14.28515625" customWidth="1"/>
    <col min="3" max="3" width="16" customWidth="1"/>
    <col min="4" max="4" width="14.42578125" customWidth="1"/>
    <col min="5" max="5" width="25.140625" customWidth="1"/>
    <col min="6" max="6" width="28.140625" customWidth="1"/>
    <col min="7" max="7" width="14.28515625" customWidth="1"/>
  </cols>
  <sheetData>
    <row r="1" spans="1:7" ht="15" customHeight="1" x14ac:dyDescent="0.3">
      <c r="A1" s="1"/>
      <c r="B1" s="2"/>
      <c r="C1" s="3"/>
      <c r="D1" s="4"/>
      <c r="E1" s="5"/>
      <c r="F1" s="207" t="s">
        <v>0</v>
      </c>
      <c r="G1" s="207"/>
    </row>
    <row r="2" spans="1:7" ht="18.75" x14ac:dyDescent="0.3">
      <c r="A2" s="7" t="s">
        <v>1</v>
      </c>
      <c r="B2" s="7"/>
      <c r="C2" s="3"/>
      <c r="D2" s="4"/>
      <c r="E2" s="5"/>
      <c r="F2" s="5"/>
      <c r="G2" s="8"/>
    </row>
    <row r="3" spans="1:7" ht="15" x14ac:dyDescent="0.3">
      <c r="A3" s="1"/>
      <c r="B3" s="2"/>
      <c r="C3" s="3"/>
      <c r="D3" s="4"/>
      <c r="E3" s="5"/>
      <c r="F3" s="5"/>
      <c r="G3" s="8"/>
    </row>
    <row r="4" spans="1:7" ht="15" x14ac:dyDescent="0.3">
      <c r="A4" s="1"/>
      <c r="B4" s="2"/>
      <c r="C4" s="3"/>
      <c r="D4" s="4"/>
      <c r="E4" s="5"/>
      <c r="F4" s="5"/>
      <c r="G4" s="8"/>
    </row>
    <row r="5" spans="1:7" ht="18" x14ac:dyDescent="0.25">
      <c r="A5" s="208" t="s">
        <v>1808</v>
      </c>
      <c r="B5" s="208"/>
      <c r="C5" s="208"/>
      <c r="D5" s="208"/>
      <c r="E5" s="208"/>
      <c r="F5" s="208"/>
      <c r="G5" s="208"/>
    </row>
    <row r="6" spans="1:7" ht="15" x14ac:dyDescent="0.3">
      <c r="A6" s="1"/>
      <c r="B6" s="9"/>
      <c r="C6" s="9"/>
      <c r="D6" s="9"/>
      <c r="E6" s="9"/>
      <c r="F6" s="10"/>
      <c r="G6" s="11"/>
    </row>
    <row r="7" spans="1:7" x14ac:dyDescent="0.2">
      <c r="A7" s="12" t="s">
        <v>2</v>
      </c>
      <c r="B7" s="12" t="s">
        <v>3</v>
      </c>
      <c r="C7" s="13" t="s">
        <v>4</v>
      </c>
      <c r="D7" s="14" t="s">
        <v>5</v>
      </c>
      <c r="E7" s="13" t="s">
        <v>6</v>
      </c>
      <c r="F7" s="13" t="s">
        <v>7</v>
      </c>
      <c r="G7" s="13" t="s">
        <v>32</v>
      </c>
    </row>
    <row r="8" spans="1:7" ht="30" x14ac:dyDescent="0.3">
      <c r="A8" s="15">
        <v>1</v>
      </c>
      <c r="B8" s="16">
        <v>40861</v>
      </c>
      <c r="C8" s="33" t="s">
        <v>1809</v>
      </c>
      <c r="D8" s="18">
        <f>+B8+30</f>
        <v>40891</v>
      </c>
      <c r="E8" s="19" t="s">
        <v>1458</v>
      </c>
      <c r="F8" s="19" t="s">
        <v>1810</v>
      </c>
      <c r="G8" s="21">
        <v>501.11</v>
      </c>
    </row>
    <row r="9" spans="1:7" ht="31.5" customHeight="1" x14ac:dyDescent="0.3">
      <c r="A9" s="15">
        <v>2</v>
      </c>
      <c r="B9" s="16">
        <v>40857</v>
      </c>
      <c r="C9" s="33" t="s">
        <v>1811</v>
      </c>
      <c r="D9" s="18">
        <f>+B9+30</f>
        <v>40887</v>
      </c>
      <c r="E9" s="19" t="s">
        <v>1458</v>
      </c>
      <c r="F9" s="19" t="s">
        <v>1812</v>
      </c>
      <c r="G9" s="21">
        <v>51.92</v>
      </c>
    </row>
    <row r="10" spans="1:7" ht="30" x14ac:dyDescent="0.3">
      <c r="A10" s="15">
        <v>3</v>
      </c>
      <c r="B10" s="16">
        <v>40863</v>
      </c>
      <c r="C10" s="33" t="s">
        <v>1813</v>
      </c>
      <c r="D10" s="18">
        <f>+B10+30</f>
        <v>40893</v>
      </c>
      <c r="E10" s="19" t="s">
        <v>19</v>
      </c>
      <c r="F10" s="19" t="s">
        <v>1238</v>
      </c>
      <c r="G10" s="21">
        <v>660.8</v>
      </c>
    </row>
    <row r="11" spans="1:7" ht="15" x14ac:dyDescent="0.3">
      <c r="A11" s="15">
        <v>4</v>
      </c>
      <c r="B11" s="16">
        <v>40876</v>
      </c>
      <c r="C11" s="33" t="s">
        <v>1814</v>
      </c>
      <c r="D11" s="18">
        <f>+B11+15</f>
        <v>40891</v>
      </c>
      <c r="E11" s="19" t="s">
        <v>1815</v>
      </c>
      <c r="F11" s="19" t="s">
        <v>1816</v>
      </c>
      <c r="G11" s="21">
        <v>127.5</v>
      </c>
    </row>
    <row r="12" spans="1:7" ht="15" x14ac:dyDescent="0.3">
      <c r="A12" s="15">
        <v>5</v>
      </c>
      <c r="B12" s="16">
        <v>40876</v>
      </c>
      <c r="C12" s="33" t="s">
        <v>1817</v>
      </c>
      <c r="D12" s="18">
        <f>+B12+15</f>
        <v>40891</v>
      </c>
      <c r="E12" s="19" t="s">
        <v>1815</v>
      </c>
      <c r="F12" s="19" t="s">
        <v>1818</v>
      </c>
      <c r="G12" s="21">
        <v>42.5</v>
      </c>
    </row>
    <row r="13" spans="1:7" ht="15" x14ac:dyDescent="0.3">
      <c r="A13" s="15">
        <v>6</v>
      </c>
      <c r="B13" s="16">
        <v>40879</v>
      </c>
      <c r="C13" s="33" t="s">
        <v>1819</v>
      </c>
      <c r="D13" s="18">
        <f>+B13+15</f>
        <v>40894</v>
      </c>
      <c r="E13" s="19" t="s">
        <v>1815</v>
      </c>
      <c r="F13" s="19" t="s">
        <v>372</v>
      </c>
      <c r="G13" s="21">
        <v>51</v>
      </c>
    </row>
    <row r="14" spans="1:7" ht="30" x14ac:dyDescent="0.3">
      <c r="A14" s="15">
        <v>7</v>
      </c>
      <c r="B14" s="16">
        <v>40872</v>
      </c>
      <c r="C14" s="33" t="s">
        <v>1820</v>
      </c>
      <c r="D14" s="18">
        <f>+B14+7</f>
        <v>40879</v>
      </c>
      <c r="E14" s="19" t="s">
        <v>40</v>
      </c>
      <c r="F14" s="19" t="s">
        <v>1821</v>
      </c>
      <c r="G14" s="21">
        <v>75.05</v>
      </c>
    </row>
    <row r="15" spans="1:7" ht="45" x14ac:dyDescent="0.3">
      <c r="A15" s="15">
        <v>8</v>
      </c>
      <c r="B15" s="16">
        <v>40869</v>
      </c>
      <c r="C15" s="33" t="s">
        <v>1822</v>
      </c>
      <c r="D15" s="18">
        <f t="shared" ref="D15:D20" si="0">+B15+15</f>
        <v>40884</v>
      </c>
      <c r="E15" s="19" t="s">
        <v>1823</v>
      </c>
      <c r="F15" s="19" t="s">
        <v>303</v>
      </c>
      <c r="G15" s="21">
        <v>413</v>
      </c>
    </row>
    <row r="16" spans="1:7" ht="30" x14ac:dyDescent="0.3">
      <c r="A16" s="15">
        <v>9</v>
      </c>
      <c r="B16" s="16">
        <v>40879</v>
      </c>
      <c r="C16" s="33" t="s">
        <v>1824</v>
      </c>
      <c r="D16" s="18">
        <f t="shared" si="0"/>
        <v>40894</v>
      </c>
      <c r="E16" s="19" t="s">
        <v>44</v>
      </c>
      <c r="F16" s="19" t="s">
        <v>1825</v>
      </c>
      <c r="G16" s="21">
        <v>121.07</v>
      </c>
    </row>
    <row r="17" spans="1:7" ht="45" x14ac:dyDescent="0.3">
      <c r="A17" s="15">
        <v>10</v>
      </c>
      <c r="B17" s="16">
        <v>40878</v>
      </c>
      <c r="C17" s="33" t="s">
        <v>1826</v>
      </c>
      <c r="D17" s="18">
        <f t="shared" si="0"/>
        <v>40893</v>
      </c>
      <c r="E17" s="19" t="s">
        <v>1389</v>
      </c>
      <c r="F17" s="19" t="s">
        <v>1827</v>
      </c>
      <c r="G17" s="21">
        <v>163.1</v>
      </c>
    </row>
    <row r="18" spans="1:7" ht="15" x14ac:dyDescent="0.3">
      <c r="A18" s="15">
        <v>11</v>
      </c>
      <c r="B18" s="16">
        <v>40880</v>
      </c>
      <c r="C18" s="33" t="s">
        <v>1828</v>
      </c>
      <c r="D18" s="18">
        <f t="shared" si="0"/>
        <v>40895</v>
      </c>
      <c r="E18" s="19" t="s">
        <v>1389</v>
      </c>
      <c r="F18" s="19" t="s">
        <v>1829</v>
      </c>
      <c r="G18" s="21">
        <v>24</v>
      </c>
    </row>
    <row r="19" spans="1:7" ht="30" x14ac:dyDescent="0.3">
      <c r="A19" s="15">
        <v>12</v>
      </c>
      <c r="B19" s="16">
        <v>40872</v>
      </c>
      <c r="C19" s="33" t="s">
        <v>1830</v>
      </c>
      <c r="D19" s="18">
        <f t="shared" si="0"/>
        <v>40887</v>
      </c>
      <c r="E19" s="19" t="s">
        <v>233</v>
      </c>
      <c r="F19" s="19" t="s">
        <v>1748</v>
      </c>
      <c r="G19" s="21">
        <f>92+1.84</f>
        <v>93.84</v>
      </c>
    </row>
    <row r="20" spans="1:7" ht="30" x14ac:dyDescent="0.3">
      <c r="A20" s="15">
        <v>13</v>
      </c>
      <c r="B20" s="16">
        <v>40876</v>
      </c>
      <c r="C20" s="33" t="s">
        <v>1831</v>
      </c>
      <c r="D20" s="18">
        <f t="shared" si="0"/>
        <v>40891</v>
      </c>
      <c r="E20" s="19" t="s">
        <v>233</v>
      </c>
      <c r="F20" s="19" t="s">
        <v>1748</v>
      </c>
      <c r="G20" s="21">
        <f>92+1.84</f>
        <v>93.84</v>
      </c>
    </row>
    <row r="21" spans="1:7" ht="15" x14ac:dyDescent="0.2">
      <c r="A21" s="22"/>
      <c r="B21" s="22"/>
      <c r="C21" s="23"/>
      <c r="D21" s="24"/>
      <c r="E21" s="25"/>
      <c r="F21" s="26" t="s">
        <v>24</v>
      </c>
      <c r="G21" s="36">
        <f>SUM(G8:G20)</f>
        <v>2418.73</v>
      </c>
    </row>
    <row r="26" spans="1:7" ht="12.75" customHeight="1" x14ac:dyDescent="0.2">
      <c r="F26" s="207" t="s">
        <v>0</v>
      </c>
      <c r="G26" s="207"/>
    </row>
    <row r="27" spans="1:7" ht="18.75" x14ac:dyDescent="0.3">
      <c r="A27" s="31" t="s">
        <v>1</v>
      </c>
      <c r="B27" s="29"/>
      <c r="C27" s="37"/>
      <c r="D27" s="30"/>
      <c r="E27" s="5"/>
      <c r="F27" s="29"/>
      <c r="G27" s="29"/>
    </row>
    <row r="28" spans="1:7" ht="15" x14ac:dyDescent="0.3">
      <c r="A28" s="29"/>
      <c r="B28" s="30"/>
      <c r="C28" s="37"/>
      <c r="D28" s="30"/>
      <c r="E28" s="5"/>
      <c r="F28" s="5"/>
      <c r="G28" s="32"/>
    </row>
    <row r="29" spans="1:7" ht="15" x14ac:dyDescent="0.3">
      <c r="A29" s="29"/>
      <c r="B29" s="30"/>
      <c r="C29" s="37"/>
      <c r="D29" s="30"/>
      <c r="E29" s="5"/>
      <c r="F29" s="5"/>
      <c r="G29" s="32"/>
    </row>
    <row r="30" spans="1:7" ht="18" x14ac:dyDescent="0.25">
      <c r="A30" s="208" t="s">
        <v>1832</v>
      </c>
      <c r="B30" s="208"/>
      <c r="C30" s="208"/>
      <c r="D30" s="208"/>
      <c r="E30" s="208"/>
      <c r="F30" s="208"/>
      <c r="G30" s="208"/>
    </row>
    <row r="31" spans="1:7" ht="15" x14ac:dyDescent="0.3">
      <c r="A31" s="29"/>
      <c r="B31" s="9"/>
      <c r="C31" s="9"/>
      <c r="D31" s="9"/>
      <c r="E31" s="9"/>
      <c r="F31" s="10"/>
      <c r="G31" s="11"/>
    </row>
    <row r="32" spans="1:7" x14ac:dyDescent="0.2">
      <c r="A32" s="12" t="s">
        <v>2</v>
      </c>
      <c r="B32" s="12" t="s">
        <v>3</v>
      </c>
      <c r="C32" s="13" t="s">
        <v>4</v>
      </c>
      <c r="D32" s="14" t="s">
        <v>25</v>
      </c>
      <c r="E32" s="13" t="s">
        <v>6</v>
      </c>
      <c r="F32" s="13" t="s">
        <v>7</v>
      </c>
      <c r="G32" s="13" t="s">
        <v>32</v>
      </c>
    </row>
    <row r="33" spans="1:8" ht="30" x14ac:dyDescent="0.3">
      <c r="A33" s="15">
        <v>1</v>
      </c>
      <c r="B33" s="16">
        <v>40884</v>
      </c>
      <c r="C33" s="33" t="s">
        <v>1833</v>
      </c>
      <c r="D33" s="18" t="s">
        <v>1834</v>
      </c>
      <c r="E33" s="19" t="s">
        <v>1835</v>
      </c>
      <c r="F33" s="19" t="s">
        <v>1836</v>
      </c>
      <c r="G33" s="21">
        <f>700-700</f>
        <v>0</v>
      </c>
      <c r="H33" s="45" t="s">
        <v>126</v>
      </c>
    </row>
    <row r="34" spans="1:8" ht="30" x14ac:dyDescent="0.3">
      <c r="A34" s="15">
        <v>2</v>
      </c>
      <c r="B34" s="16">
        <v>40888</v>
      </c>
      <c r="C34" s="33" t="s">
        <v>1837</v>
      </c>
      <c r="D34" s="18" t="s">
        <v>1838</v>
      </c>
      <c r="E34" s="19" t="s">
        <v>426</v>
      </c>
      <c r="F34" s="19" t="s">
        <v>427</v>
      </c>
      <c r="G34" s="21">
        <v>177</v>
      </c>
      <c r="H34" t="s">
        <v>27</v>
      </c>
    </row>
    <row r="35" spans="1:8" ht="30" x14ac:dyDescent="0.3">
      <c r="A35" s="15">
        <v>3</v>
      </c>
      <c r="B35" s="16">
        <v>40889</v>
      </c>
      <c r="C35" s="33" t="s">
        <v>1406</v>
      </c>
      <c r="D35" s="18" t="s">
        <v>1839</v>
      </c>
      <c r="E35" s="19" t="s">
        <v>260</v>
      </c>
      <c r="F35" s="19" t="s">
        <v>1840</v>
      </c>
      <c r="G35" s="21">
        <f>60+20+59+17+3.1+14.5+7.7+0.8+86.8+46.5+98+98+20+25+10.4+23+168+106.2+10+11.5+15.7+6.5+17+172.3+20+20+80+48+22+219.2+14+7.6+12+22+3+10+3+4+15+15</f>
        <v>1611.8</v>
      </c>
      <c r="H35" t="s">
        <v>27</v>
      </c>
    </row>
    <row r="36" spans="1:8" ht="15" x14ac:dyDescent="0.3">
      <c r="A36" s="29"/>
      <c r="B36" s="30"/>
      <c r="C36" s="37"/>
      <c r="D36" s="30"/>
      <c r="E36" s="5"/>
      <c r="F36" s="46" t="s">
        <v>24</v>
      </c>
      <c r="G36" s="36">
        <f>SUM(G33:G35)</f>
        <v>1788.8</v>
      </c>
    </row>
  </sheetData>
  <sheetProtection selectLockedCells="1" selectUnlockedCells="1"/>
  <mergeCells count="4">
    <mergeCell ref="F1:G1"/>
    <mergeCell ref="A5:G5"/>
    <mergeCell ref="F26:G26"/>
    <mergeCell ref="A30:G30"/>
  </mergeCells>
  <printOptions horizontalCentered="1"/>
  <pageMargins left="0" right="0" top="0.74791666666666667" bottom="0.74791666666666667" header="0.51180555555555551" footer="0.51180555555555551"/>
  <pageSetup paperSize="9" scale="75" firstPageNumber="0" orientation="portrait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"/>
  <dimension ref="A1:I24"/>
  <sheetViews>
    <sheetView workbookViewId="0">
      <selection activeCell="A37" sqref="A37"/>
    </sheetView>
  </sheetViews>
  <sheetFormatPr baseColWidth="10" defaultColWidth="10.7109375" defaultRowHeight="12.75" x14ac:dyDescent="0.2"/>
  <cols>
    <col min="1" max="1" width="3.85546875" customWidth="1"/>
    <col min="2" max="2" width="13.85546875" customWidth="1"/>
    <col min="3" max="3" width="15.5703125" customWidth="1"/>
    <col min="4" max="4" width="14.42578125" customWidth="1"/>
    <col min="5" max="5" width="27.42578125" customWidth="1"/>
    <col min="6" max="6" width="25" customWidth="1"/>
    <col min="7" max="7" width="14.140625" customWidth="1"/>
  </cols>
  <sheetData>
    <row r="1" spans="1:7" ht="15" customHeight="1" x14ac:dyDescent="0.3">
      <c r="A1" s="1"/>
      <c r="B1" s="2"/>
      <c r="C1" s="3"/>
      <c r="D1" s="4"/>
      <c r="E1" s="5"/>
      <c r="F1" s="207" t="s">
        <v>0</v>
      </c>
      <c r="G1" s="207"/>
    </row>
    <row r="2" spans="1:7" ht="18.75" x14ac:dyDescent="0.3">
      <c r="A2" s="7" t="s">
        <v>1</v>
      </c>
      <c r="B2" s="7"/>
      <c r="C2" s="3"/>
      <c r="D2" s="4"/>
      <c r="E2" s="5"/>
      <c r="F2" s="5"/>
      <c r="G2" s="8"/>
    </row>
    <row r="3" spans="1:7" ht="15" x14ac:dyDescent="0.3">
      <c r="A3" s="1"/>
      <c r="B3" s="2"/>
      <c r="C3" s="3"/>
      <c r="D3" s="4"/>
      <c r="E3" s="5"/>
      <c r="F3" s="5"/>
      <c r="G3" s="8"/>
    </row>
    <row r="4" spans="1:7" ht="15" x14ac:dyDescent="0.3">
      <c r="A4" s="1"/>
      <c r="B4" s="2"/>
      <c r="C4" s="3"/>
      <c r="D4" s="4"/>
      <c r="E4" s="5"/>
      <c r="F4" s="5"/>
      <c r="G4" s="8"/>
    </row>
    <row r="5" spans="1:7" ht="18" x14ac:dyDescent="0.25">
      <c r="A5" s="208" t="s">
        <v>1841</v>
      </c>
      <c r="B5" s="208"/>
      <c r="C5" s="208"/>
      <c r="D5" s="208"/>
      <c r="E5" s="208"/>
      <c r="F5" s="208"/>
      <c r="G5" s="208"/>
    </row>
    <row r="6" spans="1:7" ht="15" x14ac:dyDescent="0.3">
      <c r="A6" s="1"/>
      <c r="B6" s="9"/>
      <c r="C6" s="9"/>
      <c r="D6" s="9"/>
      <c r="E6" s="9"/>
      <c r="F6" s="10"/>
      <c r="G6" s="11"/>
    </row>
    <row r="7" spans="1:7" x14ac:dyDescent="0.2">
      <c r="A7" s="12" t="s">
        <v>2</v>
      </c>
      <c r="B7" s="12" t="s">
        <v>3</v>
      </c>
      <c r="C7" s="13" t="s">
        <v>4</v>
      </c>
      <c r="D7" s="14" t="s">
        <v>5</v>
      </c>
      <c r="E7" s="13" t="s">
        <v>6</v>
      </c>
      <c r="F7" s="13" t="s">
        <v>7</v>
      </c>
      <c r="G7" s="13" t="s">
        <v>8</v>
      </c>
    </row>
    <row r="8" spans="1:7" ht="45" x14ac:dyDescent="0.3">
      <c r="A8" s="52">
        <v>1</v>
      </c>
      <c r="B8" s="53">
        <v>40857</v>
      </c>
      <c r="C8" s="17" t="s">
        <v>1842</v>
      </c>
      <c r="D8" s="96">
        <f>+B8+30</f>
        <v>40887</v>
      </c>
      <c r="E8" s="19" t="s">
        <v>1843</v>
      </c>
      <c r="F8" s="20" t="s">
        <v>1844</v>
      </c>
      <c r="G8" s="21">
        <f>141.13+2.52</f>
        <v>143.65</v>
      </c>
    </row>
    <row r="9" spans="1:7" ht="30" x14ac:dyDescent="0.3">
      <c r="A9" s="52">
        <v>2</v>
      </c>
      <c r="B9" s="53">
        <v>40859</v>
      </c>
      <c r="C9" s="17" t="s">
        <v>1845</v>
      </c>
      <c r="D9" s="96">
        <f>+B9+30</f>
        <v>40889</v>
      </c>
      <c r="E9" s="19" t="s">
        <v>1846</v>
      </c>
      <c r="F9" s="20" t="s">
        <v>12</v>
      </c>
      <c r="G9" s="21">
        <v>5.24</v>
      </c>
    </row>
    <row r="10" spans="1:7" ht="15" x14ac:dyDescent="0.2">
      <c r="A10" s="22"/>
      <c r="B10" s="22"/>
      <c r="C10" s="23"/>
      <c r="D10" s="24"/>
      <c r="E10" s="25"/>
      <c r="F10" s="26" t="s">
        <v>24</v>
      </c>
      <c r="G10" s="27">
        <f>SUM(G8:G9)</f>
        <v>148.89000000000001</v>
      </c>
    </row>
    <row r="14" spans="1:7" x14ac:dyDescent="0.2">
      <c r="B14" s="35"/>
    </row>
    <row r="15" spans="1:7" ht="15" x14ac:dyDescent="0.2">
      <c r="A15" s="22"/>
      <c r="B15" s="22"/>
      <c r="C15" s="23"/>
      <c r="D15" s="24"/>
      <c r="E15" s="25"/>
      <c r="F15" s="55"/>
      <c r="G15" s="68"/>
    </row>
    <row r="16" spans="1:7" ht="15" customHeight="1" x14ac:dyDescent="0.3">
      <c r="A16" s="29"/>
      <c r="B16" s="30"/>
      <c r="C16" s="37"/>
      <c r="D16" s="30"/>
      <c r="E16" s="5"/>
      <c r="F16" s="207" t="s">
        <v>0</v>
      </c>
      <c r="G16" s="207"/>
    </row>
    <row r="17" spans="1:9" ht="18.75" x14ac:dyDescent="0.3">
      <c r="A17" s="31" t="s">
        <v>1</v>
      </c>
      <c r="B17" s="29"/>
      <c r="C17" s="37"/>
      <c r="D17" s="30"/>
      <c r="E17" s="5"/>
      <c r="F17" s="29"/>
      <c r="G17" s="29"/>
    </row>
    <row r="18" spans="1:9" ht="15" x14ac:dyDescent="0.3">
      <c r="A18" s="29"/>
      <c r="B18" s="30"/>
      <c r="C18" s="37"/>
      <c r="D18" s="30"/>
      <c r="E18" s="5"/>
      <c r="F18" s="5"/>
      <c r="G18" s="32"/>
    </row>
    <row r="19" spans="1:9" ht="15" x14ac:dyDescent="0.3">
      <c r="A19" s="29"/>
      <c r="B19" s="30"/>
      <c r="C19" s="37"/>
      <c r="D19" s="30"/>
      <c r="E19" s="5"/>
      <c r="F19" s="5"/>
      <c r="G19" s="32"/>
    </row>
    <row r="20" spans="1:9" ht="18" x14ac:dyDescent="0.25">
      <c r="A20" s="208" t="s">
        <v>1847</v>
      </c>
      <c r="B20" s="208"/>
      <c r="C20" s="208"/>
      <c r="D20" s="208"/>
      <c r="E20" s="208"/>
      <c r="F20" s="208"/>
      <c r="G20" s="208"/>
      <c r="H20" s="35"/>
      <c r="I20" s="35"/>
    </row>
    <row r="21" spans="1:9" ht="15" x14ac:dyDescent="0.3">
      <c r="A21" s="29"/>
      <c r="B21" s="9"/>
      <c r="C21" s="9"/>
      <c r="D21" s="9"/>
      <c r="E21" s="9"/>
      <c r="F21" s="10"/>
      <c r="G21" s="11"/>
    </row>
    <row r="22" spans="1:9" x14ac:dyDescent="0.2">
      <c r="A22" s="12" t="s">
        <v>2</v>
      </c>
      <c r="B22" s="12" t="s">
        <v>3</v>
      </c>
      <c r="C22" s="13" t="s">
        <v>4</v>
      </c>
      <c r="D22" s="14" t="s">
        <v>25</v>
      </c>
      <c r="E22" s="13" t="s">
        <v>6</v>
      </c>
      <c r="F22" s="13" t="s">
        <v>7</v>
      </c>
      <c r="G22" s="13" t="s">
        <v>8</v>
      </c>
    </row>
    <row r="23" spans="1:9" ht="60" x14ac:dyDescent="0.3">
      <c r="A23" s="15">
        <v>1</v>
      </c>
      <c r="B23" s="16">
        <v>40884</v>
      </c>
      <c r="C23" s="33" t="s">
        <v>29</v>
      </c>
      <c r="D23" s="18" t="s">
        <v>1848</v>
      </c>
      <c r="E23" s="19" t="s">
        <v>175</v>
      </c>
      <c r="F23" s="19" t="s">
        <v>1849</v>
      </c>
      <c r="G23" s="21">
        <v>400.05</v>
      </c>
      <c r="H23" t="s">
        <v>27</v>
      </c>
    </row>
    <row r="24" spans="1:9" ht="15" x14ac:dyDescent="0.3">
      <c r="A24" s="29"/>
      <c r="B24" s="30"/>
      <c r="C24" s="37"/>
      <c r="D24" s="30"/>
      <c r="E24" s="5"/>
      <c r="F24" s="46" t="s">
        <v>24</v>
      </c>
      <c r="G24" s="103">
        <f>SUM(G23:G23)</f>
        <v>400.05</v>
      </c>
    </row>
  </sheetData>
  <sheetProtection selectLockedCells="1" selectUnlockedCells="1"/>
  <mergeCells count="4">
    <mergeCell ref="F1:G1"/>
    <mergeCell ref="A5:G5"/>
    <mergeCell ref="F16:G16"/>
    <mergeCell ref="A20:G20"/>
  </mergeCells>
  <printOptions horizontalCentered="1"/>
  <pageMargins left="0" right="0" top="0.74791666666666667" bottom="0.74791666666666667" header="0.51180555555555551" footer="0.51180555555555551"/>
  <pageSetup paperSize="9" scale="85" firstPageNumber="0" orientation="portrait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/>
  <dimension ref="A1:I42"/>
  <sheetViews>
    <sheetView topLeftCell="A30" workbookViewId="0">
      <selection activeCell="A37" sqref="A37"/>
    </sheetView>
  </sheetViews>
  <sheetFormatPr baseColWidth="10" defaultColWidth="10.7109375" defaultRowHeight="12.75" x14ac:dyDescent="0.2"/>
  <cols>
    <col min="1" max="1" width="6" customWidth="1"/>
    <col min="2" max="2" width="12.5703125" customWidth="1"/>
    <col min="4" max="4" width="13.5703125" customWidth="1"/>
    <col min="5" max="5" width="24.42578125" customWidth="1"/>
    <col min="6" max="6" width="27.42578125" customWidth="1"/>
    <col min="7" max="7" width="14.28515625" customWidth="1"/>
  </cols>
  <sheetData>
    <row r="1" spans="1:7" ht="15" customHeight="1" x14ac:dyDescent="0.3">
      <c r="A1" s="1"/>
      <c r="B1" s="2"/>
      <c r="C1" s="3"/>
      <c r="D1" s="4"/>
      <c r="E1" s="5"/>
      <c r="F1" s="207" t="s">
        <v>0</v>
      </c>
      <c r="G1" s="207"/>
    </row>
    <row r="2" spans="1:7" ht="18.75" x14ac:dyDescent="0.3">
      <c r="A2" s="7" t="s">
        <v>1</v>
      </c>
      <c r="B2" s="7"/>
      <c r="C2" s="3"/>
      <c r="D2" s="4"/>
      <c r="E2" s="5"/>
      <c r="F2" s="5"/>
      <c r="G2" s="8"/>
    </row>
    <row r="3" spans="1:7" ht="15" x14ac:dyDescent="0.3">
      <c r="A3" s="1"/>
      <c r="B3" s="2"/>
      <c r="C3" s="3"/>
      <c r="D3" s="4"/>
      <c r="E3" s="5"/>
      <c r="F3" s="5"/>
      <c r="G3" s="8"/>
    </row>
    <row r="4" spans="1:7" ht="15" x14ac:dyDescent="0.3">
      <c r="A4" s="1"/>
      <c r="B4" s="2"/>
      <c r="C4" s="3"/>
      <c r="D4" s="4"/>
      <c r="E4" s="5"/>
      <c r="F4" s="5"/>
      <c r="G4" s="8"/>
    </row>
    <row r="5" spans="1:7" ht="18" x14ac:dyDescent="0.25">
      <c r="A5" s="208" t="s">
        <v>1850</v>
      </c>
      <c r="B5" s="208"/>
      <c r="C5" s="208"/>
      <c r="D5" s="208"/>
      <c r="E5" s="208"/>
      <c r="F5" s="208"/>
      <c r="G5" s="208"/>
    </row>
    <row r="6" spans="1:7" ht="15" x14ac:dyDescent="0.3">
      <c r="A6" s="1"/>
      <c r="B6" s="9"/>
      <c r="C6" s="9"/>
      <c r="D6" s="9"/>
      <c r="E6" s="9"/>
      <c r="F6" s="10"/>
      <c r="G6" s="11"/>
    </row>
    <row r="7" spans="1:7" x14ac:dyDescent="0.2">
      <c r="A7" s="12" t="s">
        <v>2</v>
      </c>
      <c r="B7" s="12" t="s">
        <v>3</v>
      </c>
      <c r="C7" s="13" t="s">
        <v>4</v>
      </c>
      <c r="D7" s="14" t="s">
        <v>5</v>
      </c>
      <c r="E7" s="13" t="s">
        <v>6</v>
      </c>
      <c r="F7" s="13" t="s">
        <v>7</v>
      </c>
      <c r="G7" s="13" t="s">
        <v>32</v>
      </c>
    </row>
    <row r="8" spans="1:7" ht="15" x14ac:dyDescent="0.3">
      <c r="A8" s="15">
        <v>1</v>
      </c>
      <c r="B8" s="16">
        <v>40889</v>
      </c>
      <c r="C8" s="33" t="s">
        <v>1851</v>
      </c>
      <c r="D8" s="18">
        <f>+B8+15</f>
        <v>40904</v>
      </c>
      <c r="E8" s="19" t="s">
        <v>1852</v>
      </c>
      <c r="F8" s="19" t="s">
        <v>1816</v>
      </c>
      <c r="G8" s="21">
        <v>127.5</v>
      </c>
    </row>
    <row r="9" spans="1:7" ht="30" x14ac:dyDescent="0.3">
      <c r="A9" s="15">
        <v>2</v>
      </c>
      <c r="B9" s="16">
        <v>40879</v>
      </c>
      <c r="C9" s="33" t="s">
        <v>1853</v>
      </c>
      <c r="D9" s="18">
        <f>+B9+15</f>
        <v>40894</v>
      </c>
      <c r="E9" s="19" t="s">
        <v>386</v>
      </c>
      <c r="F9" s="19" t="s">
        <v>1854</v>
      </c>
      <c r="G9" s="21">
        <v>61.36</v>
      </c>
    </row>
    <row r="10" spans="1:7" ht="45" x14ac:dyDescent="0.3">
      <c r="A10" s="15">
        <v>3</v>
      </c>
      <c r="B10" s="16">
        <v>40868</v>
      </c>
      <c r="C10" s="33" t="s">
        <v>1855</v>
      </c>
      <c r="D10" s="18">
        <f>+B10+15</f>
        <v>40883</v>
      </c>
      <c r="E10" s="19" t="s">
        <v>1531</v>
      </c>
      <c r="F10" s="19" t="s">
        <v>1856</v>
      </c>
      <c r="G10" s="21">
        <v>188.8</v>
      </c>
    </row>
    <row r="11" spans="1:7" ht="30" x14ac:dyDescent="0.3">
      <c r="A11" s="15">
        <v>4</v>
      </c>
      <c r="B11" s="16">
        <v>40884</v>
      </c>
      <c r="C11" s="33" t="s">
        <v>1857</v>
      </c>
      <c r="D11" s="18">
        <f>+B11+7</f>
        <v>40891</v>
      </c>
      <c r="E11" s="19" t="s">
        <v>1858</v>
      </c>
      <c r="F11" s="19" t="s">
        <v>1859</v>
      </c>
      <c r="G11" s="21">
        <v>7363</v>
      </c>
    </row>
    <row r="12" spans="1:7" ht="30" x14ac:dyDescent="0.3">
      <c r="A12" s="15">
        <v>5</v>
      </c>
      <c r="B12" s="16">
        <v>40886</v>
      </c>
      <c r="C12" s="33" t="s">
        <v>1860</v>
      </c>
      <c r="D12" s="18">
        <f>+B12+15</f>
        <v>40901</v>
      </c>
      <c r="E12" s="19" t="s">
        <v>17</v>
      </c>
      <c r="F12" s="19" t="s">
        <v>65</v>
      </c>
      <c r="G12" s="21">
        <v>660.8</v>
      </c>
    </row>
    <row r="13" spans="1:7" ht="30" x14ac:dyDescent="0.3">
      <c r="A13" s="15">
        <v>6</v>
      </c>
      <c r="B13" s="16">
        <v>40883</v>
      </c>
      <c r="C13" s="33" t="s">
        <v>1861</v>
      </c>
      <c r="D13" s="18">
        <f>+B13+15</f>
        <v>40898</v>
      </c>
      <c r="E13" s="19" t="s">
        <v>233</v>
      </c>
      <c r="F13" s="19" t="s">
        <v>1862</v>
      </c>
      <c r="G13" s="21">
        <f>138+2.76</f>
        <v>140.76</v>
      </c>
    </row>
    <row r="14" spans="1:7" ht="30" x14ac:dyDescent="0.3">
      <c r="A14" s="15">
        <v>7</v>
      </c>
      <c r="B14" s="16">
        <v>40886</v>
      </c>
      <c r="C14" s="33" t="s">
        <v>1863</v>
      </c>
      <c r="D14" s="18">
        <f>+B14+15</f>
        <v>40901</v>
      </c>
      <c r="E14" s="19" t="s">
        <v>85</v>
      </c>
      <c r="F14" s="19" t="s">
        <v>1864</v>
      </c>
      <c r="G14" s="21">
        <f>765.76+15.32</f>
        <v>781.08</v>
      </c>
    </row>
    <row r="15" spans="1:7" ht="45" x14ac:dyDescent="0.3">
      <c r="A15" s="15">
        <v>8</v>
      </c>
      <c r="B15" s="16">
        <v>40878</v>
      </c>
      <c r="C15" s="33" t="s">
        <v>1865</v>
      </c>
      <c r="D15" s="18">
        <f>+B15+7</f>
        <v>40885</v>
      </c>
      <c r="E15" s="19" t="s">
        <v>1553</v>
      </c>
      <c r="F15" s="19" t="s">
        <v>1866</v>
      </c>
      <c r="G15" s="21">
        <v>106.2</v>
      </c>
    </row>
    <row r="16" spans="1:7" ht="26.25" x14ac:dyDescent="0.3">
      <c r="A16" s="15">
        <v>9</v>
      </c>
      <c r="B16" s="16">
        <v>40878</v>
      </c>
      <c r="C16" s="33" t="s">
        <v>1867</v>
      </c>
      <c r="D16" s="18">
        <f>+B16+30</f>
        <v>40908</v>
      </c>
      <c r="E16" s="19" t="s">
        <v>67</v>
      </c>
      <c r="F16" s="19" t="s">
        <v>1868</v>
      </c>
      <c r="G16" s="21">
        <v>1859.26</v>
      </c>
    </row>
    <row r="17" spans="1:9" ht="45" x14ac:dyDescent="0.3">
      <c r="A17" s="15">
        <v>10</v>
      </c>
      <c r="B17" s="16">
        <v>40861</v>
      </c>
      <c r="C17" s="33" t="s">
        <v>1869</v>
      </c>
      <c r="D17" s="18">
        <f>+B17+15</f>
        <v>40876</v>
      </c>
      <c r="E17" s="19" t="s">
        <v>1870</v>
      </c>
      <c r="F17" s="19" t="s">
        <v>1871</v>
      </c>
      <c r="G17" s="21">
        <v>318.60000000000002</v>
      </c>
    </row>
    <row r="18" spans="1:9" ht="15" x14ac:dyDescent="0.2">
      <c r="A18" s="22"/>
      <c r="B18" s="22"/>
      <c r="C18" s="23"/>
      <c r="D18" s="24"/>
      <c r="E18" s="25"/>
      <c r="F18" s="26" t="s">
        <v>24</v>
      </c>
      <c r="G18" s="36">
        <f>SUM(G8:G17)</f>
        <v>11607.36</v>
      </c>
    </row>
    <row r="20" spans="1:9" ht="26.25" x14ac:dyDescent="0.3">
      <c r="A20" s="15">
        <v>1</v>
      </c>
      <c r="B20" s="16">
        <v>40870</v>
      </c>
      <c r="C20" s="33" t="s">
        <v>1872</v>
      </c>
      <c r="D20" s="18">
        <f>+B20+30</f>
        <v>40900</v>
      </c>
      <c r="E20" s="19" t="s">
        <v>349</v>
      </c>
      <c r="F20" s="19" t="s">
        <v>1873</v>
      </c>
      <c r="G20" s="21">
        <v>5095.12</v>
      </c>
      <c r="H20" t="s">
        <v>1874</v>
      </c>
    </row>
    <row r="24" spans="1:9" ht="12.75" customHeight="1" x14ac:dyDescent="0.2">
      <c r="F24" s="207" t="s">
        <v>0</v>
      </c>
      <c r="G24" s="207"/>
    </row>
    <row r="25" spans="1:9" ht="18.75" x14ac:dyDescent="0.3">
      <c r="A25" s="31" t="s">
        <v>1</v>
      </c>
      <c r="B25" s="29"/>
      <c r="C25" s="37"/>
      <c r="D25" s="30"/>
      <c r="E25" s="5"/>
      <c r="F25" s="29"/>
      <c r="G25" s="29"/>
    </row>
    <row r="26" spans="1:9" ht="15" x14ac:dyDescent="0.3">
      <c r="A26" s="29"/>
      <c r="B26" s="30"/>
      <c r="C26" s="37"/>
      <c r="D26" s="30"/>
      <c r="E26" s="5"/>
      <c r="F26" s="5"/>
      <c r="G26" s="32"/>
    </row>
    <row r="27" spans="1:9" ht="15" x14ac:dyDescent="0.3">
      <c r="A27" s="29"/>
      <c r="B27" s="30"/>
      <c r="C27" s="37"/>
      <c r="D27" s="30"/>
      <c r="E27" s="5"/>
      <c r="F27" s="5"/>
      <c r="G27" s="32"/>
    </row>
    <row r="28" spans="1:9" ht="18" x14ac:dyDescent="0.25">
      <c r="A28" s="208" t="s">
        <v>1875</v>
      </c>
      <c r="B28" s="208"/>
      <c r="C28" s="208"/>
      <c r="D28" s="208"/>
      <c r="E28" s="208"/>
      <c r="F28" s="208"/>
      <c r="G28" s="208"/>
    </row>
    <row r="29" spans="1:9" ht="15" x14ac:dyDescent="0.3">
      <c r="A29" s="29"/>
      <c r="B29" s="9"/>
      <c r="C29" s="9"/>
      <c r="D29" s="9"/>
      <c r="E29" s="9"/>
      <c r="F29" s="10"/>
      <c r="G29" s="11"/>
    </row>
    <row r="30" spans="1:9" x14ac:dyDescent="0.2">
      <c r="A30" s="12" t="s">
        <v>2</v>
      </c>
      <c r="B30" s="12" t="s">
        <v>3</v>
      </c>
      <c r="C30" s="13" t="s">
        <v>4</v>
      </c>
      <c r="D30" s="14" t="s">
        <v>25</v>
      </c>
      <c r="E30" s="13" t="s">
        <v>6</v>
      </c>
      <c r="F30" s="13" t="s">
        <v>7</v>
      </c>
      <c r="G30" s="13" t="s">
        <v>32</v>
      </c>
    </row>
    <row r="31" spans="1:9" ht="30" x14ac:dyDescent="0.3">
      <c r="A31" s="15">
        <v>1</v>
      </c>
      <c r="B31" s="16">
        <v>40889</v>
      </c>
      <c r="C31" s="33" t="s">
        <v>1876</v>
      </c>
      <c r="D31" s="18" t="s">
        <v>1877</v>
      </c>
      <c r="E31" s="19" t="s">
        <v>1878</v>
      </c>
      <c r="F31" s="19" t="s">
        <v>242</v>
      </c>
      <c r="G31" s="21">
        <v>2430</v>
      </c>
      <c r="H31" t="s">
        <v>27</v>
      </c>
      <c r="I31" s="35">
        <v>40900</v>
      </c>
    </row>
    <row r="32" spans="1:9" ht="30" x14ac:dyDescent="0.3">
      <c r="A32" s="15">
        <v>2</v>
      </c>
      <c r="B32" s="16">
        <v>40878</v>
      </c>
      <c r="C32" s="33" t="s">
        <v>1879</v>
      </c>
      <c r="D32" s="18" t="s">
        <v>1880</v>
      </c>
      <c r="E32" s="19" t="s">
        <v>1689</v>
      </c>
      <c r="F32" s="19" t="s">
        <v>1881</v>
      </c>
      <c r="G32" s="21">
        <f>1239-(1239*0.12)</f>
        <v>1090.32</v>
      </c>
      <c r="H32" t="s">
        <v>27</v>
      </c>
    </row>
    <row r="33" spans="1:9" ht="30" x14ac:dyDescent="0.3">
      <c r="A33" s="15">
        <v>3</v>
      </c>
      <c r="B33" s="16">
        <v>40892</v>
      </c>
      <c r="C33" s="33" t="s">
        <v>1406</v>
      </c>
      <c r="D33" s="18" t="s">
        <v>1882</v>
      </c>
      <c r="E33" s="19" t="s">
        <v>1883</v>
      </c>
      <c r="F33" s="19" t="s">
        <v>446</v>
      </c>
      <c r="G33" s="21">
        <v>1064.32</v>
      </c>
      <c r="H33" t="s">
        <v>27</v>
      </c>
    </row>
    <row r="34" spans="1:9" ht="45" x14ac:dyDescent="0.3">
      <c r="A34" s="15">
        <v>4</v>
      </c>
      <c r="B34" s="16">
        <v>40871</v>
      </c>
      <c r="C34" s="33" t="s">
        <v>1406</v>
      </c>
      <c r="D34" s="18" t="s">
        <v>1884</v>
      </c>
      <c r="E34" s="19" t="s">
        <v>1885</v>
      </c>
      <c r="F34" s="19" t="s">
        <v>446</v>
      </c>
      <c r="G34" s="21">
        <v>10733.51</v>
      </c>
      <c r="H34" t="s">
        <v>126</v>
      </c>
    </row>
    <row r="35" spans="1:9" ht="30" x14ac:dyDescent="0.3">
      <c r="A35" s="15">
        <v>5</v>
      </c>
      <c r="B35" s="16">
        <v>40897</v>
      </c>
      <c r="C35" s="33" t="s">
        <v>29</v>
      </c>
      <c r="D35" s="18" t="s">
        <v>1886</v>
      </c>
      <c r="E35" s="19" t="s">
        <v>582</v>
      </c>
      <c r="F35" s="19" t="s">
        <v>1887</v>
      </c>
      <c r="G35" s="21">
        <v>0</v>
      </c>
      <c r="H35" t="s">
        <v>1888</v>
      </c>
    </row>
    <row r="36" spans="1:9" ht="45" x14ac:dyDescent="0.3">
      <c r="A36" s="15">
        <v>6</v>
      </c>
      <c r="B36" s="16">
        <v>40897</v>
      </c>
      <c r="C36" s="33" t="s">
        <v>29</v>
      </c>
      <c r="D36" s="18" t="s">
        <v>1889</v>
      </c>
      <c r="E36" s="19" t="s">
        <v>582</v>
      </c>
      <c r="F36" s="19" t="s">
        <v>1890</v>
      </c>
      <c r="G36" s="21">
        <v>34924</v>
      </c>
      <c r="H36" t="s">
        <v>27</v>
      </c>
    </row>
    <row r="37" spans="1:9" ht="30" x14ac:dyDescent="0.3">
      <c r="A37" s="15">
        <v>7</v>
      </c>
      <c r="B37" s="16">
        <v>40897</v>
      </c>
      <c r="C37" s="33" t="s">
        <v>29</v>
      </c>
      <c r="D37" s="18" t="s">
        <v>1891</v>
      </c>
      <c r="E37" s="19" t="s">
        <v>582</v>
      </c>
      <c r="F37" s="19" t="s">
        <v>1892</v>
      </c>
      <c r="G37" s="21">
        <v>20706</v>
      </c>
      <c r="H37" t="s">
        <v>27</v>
      </c>
    </row>
    <row r="38" spans="1:9" ht="51.75" x14ac:dyDescent="0.3">
      <c r="A38" s="15">
        <v>8</v>
      </c>
      <c r="B38" s="16">
        <v>40902</v>
      </c>
      <c r="C38" s="33" t="s">
        <v>1893</v>
      </c>
      <c r="D38" s="18" t="s">
        <v>1894</v>
      </c>
      <c r="E38" s="19" t="s">
        <v>208</v>
      </c>
      <c r="F38" s="19" t="s">
        <v>1895</v>
      </c>
      <c r="G38" s="21">
        <f>6880.83+741.3</f>
        <v>7622.13</v>
      </c>
      <c r="H38" t="s">
        <v>27</v>
      </c>
    </row>
    <row r="39" spans="1:9" ht="45" x14ac:dyDescent="0.3">
      <c r="A39" s="15">
        <v>9</v>
      </c>
      <c r="B39" s="16">
        <v>40898</v>
      </c>
      <c r="C39" s="33" t="s">
        <v>1406</v>
      </c>
      <c r="D39" s="18" t="s">
        <v>1896</v>
      </c>
      <c r="E39" s="19" t="s">
        <v>1897</v>
      </c>
      <c r="F39" s="19" t="s">
        <v>1898</v>
      </c>
      <c r="G39" s="21">
        <v>197.5</v>
      </c>
      <c r="H39" t="s">
        <v>27</v>
      </c>
      <c r="I39" t="s">
        <v>1899</v>
      </c>
    </row>
    <row r="40" spans="1:9" ht="45" x14ac:dyDescent="0.3">
      <c r="A40" s="15">
        <v>10</v>
      </c>
      <c r="B40" s="16">
        <v>40898</v>
      </c>
      <c r="C40" s="33" t="s">
        <v>1406</v>
      </c>
      <c r="D40" s="18" t="s">
        <v>1900</v>
      </c>
      <c r="E40" s="19" t="s">
        <v>1588</v>
      </c>
      <c r="F40" s="19" t="s">
        <v>1901</v>
      </c>
      <c r="G40" s="21">
        <v>793.7</v>
      </c>
      <c r="H40" t="s">
        <v>27</v>
      </c>
      <c r="I40" t="s">
        <v>1899</v>
      </c>
    </row>
    <row r="41" spans="1:9" ht="51.75" x14ac:dyDescent="0.3">
      <c r="A41" s="15">
        <v>11</v>
      </c>
      <c r="B41" s="16">
        <v>40908</v>
      </c>
      <c r="C41" s="33" t="s">
        <v>1902</v>
      </c>
      <c r="D41" s="18" t="s">
        <v>1903</v>
      </c>
      <c r="E41" s="19" t="s">
        <v>110</v>
      </c>
      <c r="F41" s="19" t="s">
        <v>1904</v>
      </c>
      <c r="G41" s="21">
        <f>1241.47+540.22+408.29</f>
        <v>2189.98</v>
      </c>
      <c r="H41" t="s">
        <v>126</v>
      </c>
    </row>
    <row r="42" spans="1:9" ht="15" x14ac:dyDescent="0.3">
      <c r="A42" s="29"/>
      <c r="B42" s="30"/>
      <c r="C42" s="37"/>
      <c r="D42" s="30"/>
      <c r="E42" s="5"/>
      <c r="F42" s="46" t="s">
        <v>24</v>
      </c>
      <c r="G42" s="36">
        <f>SUM(G31:G41)</f>
        <v>81751.459999999992</v>
      </c>
    </row>
  </sheetData>
  <sheetProtection selectLockedCells="1" selectUnlockedCells="1"/>
  <mergeCells count="4">
    <mergeCell ref="F1:G1"/>
    <mergeCell ref="A5:G5"/>
    <mergeCell ref="F24:G24"/>
    <mergeCell ref="A28:G28"/>
  </mergeCells>
  <printOptions horizontalCentered="1"/>
  <pageMargins left="0" right="0" top="0.74791666666666667" bottom="0.74791666666666667" header="0.51180555555555551" footer="0.51180555555555551"/>
  <pageSetup paperSize="9" scale="85" firstPageNumber="0" orientation="portrait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4"/>
  <dimension ref="A1:I39"/>
  <sheetViews>
    <sheetView topLeftCell="A16" workbookViewId="0">
      <selection activeCell="A37" sqref="A37"/>
    </sheetView>
  </sheetViews>
  <sheetFormatPr baseColWidth="10" defaultColWidth="10.7109375" defaultRowHeight="12.75" x14ac:dyDescent="0.2"/>
  <cols>
    <col min="1" max="1" width="3.85546875" customWidth="1"/>
    <col min="2" max="2" width="13.85546875" customWidth="1"/>
    <col min="3" max="3" width="15.5703125" customWidth="1"/>
    <col min="4" max="4" width="14.42578125" customWidth="1"/>
    <col min="5" max="5" width="24.85546875" customWidth="1"/>
    <col min="6" max="6" width="24.28515625" customWidth="1"/>
    <col min="7" max="7" width="13.28515625" customWidth="1"/>
  </cols>
  <sheetData>
    <row r="1" spans="1:7" ht="15" customHeight="1" x14ac:dyDescent="0.3">
      <c r="A1" s="1"/>
      <c r="B1" s="2"/>
      <c r="C1" s="3"/>
      <c r="D1" s="4"/>
      <c r="E1" s="5"/>
      <c r="F1" s="207" t="s">
        <v>0</v>
      </c>
      <c r="G1" s="207"/>
    </row>
    <row r="2" spans="1:7" ht="18.75" x14ac:dyDescent="0.3">
      <c r="A2" s="7" t="s">
        <v>1</v>
      </c>
      <c r="B2" s="7"/>
      <c r="C2" s="3"/>
      <c r="D2" s="4"/>
      <c r="E2" s="5"/>
      <c r="F2" s="5"/>
      <c r="G2" s="8"/>
    </row>
    <row r="3" spans="1:7" ht="15" x14ac:dyDescent="0.3">
      <c r="A3" s="1"/>
      <c r="B3" s="2"/>
      <c r="C3" s="3"/>
      <c r="D3" s="4"/>
      <c r="E3" s="5"/>
      <c r="F3" s="5"/>
      <c r="G3" s="8"/>
    </row>
    <row r="4" spans="1:7" ht="15" x14ac:dyDescent="0.3">
      <c r="A4" s="1"/>
      <c r="B4" s="2"/>
      <c r="C4" s="3"/>
      <c r="D4" s="4"/>
      <c r="E4" s="5"/>
      <c r="F4" s="5"/>
      <c r="G4" s="8"/>
    </row>
    <row r="5" spans="1:7" ht="18" x14ac:dyDescent="0.25">
      <c r="A5" s="208" t="s">
        <v>1905</v>
      </c>
      <c r="B5" s="208"/>
      <c r="C5" s="208"/>
      <c r="D5" s="208"/>
      <c r="E5" s="208"/>
      <c r="F5" s="208"/>
      <c r="G5" s="208"/>
    </row>
    <row r="6" spans="1:7" ht="15" x14ac:dyDescent="0.3">
      <c r="A6" s="1"/>
      <c r="B6" s="9"/>
      <c r="C6" s="9"/>
      <c r="D6" s="9"/>
      <c r="E6" s="9"/>
      <c r="F6" s="10"/>
      <c r="G6" s="11"/>
    </row>
    <row r="7" spans="1:7" x14ac:dyDescent="0.2">
      <c r="A7" s="12" t="s">
        <v>2</v>
      </c>
      <c r="B7" s="12" t="s">
        <v>3</v>
      </c>
      <c r="C7" s="13" t="s">
        <v>4</v>
      </c>
      <c r="D7" s="14" t="s">
        <v>5</v>
      </c>
      <c r="E7" s="13" t="s">
        <v>6</v>
      </c>
      <c r="F7" s="13" t="s">
        <v>7</v>
      </c>
      <c r="G7" s="13" t="s">
        <v>8</v>
      </c>
    </row>
    <row r="8" spans="1:7" ht="45" x14ac:dyDescent="0.3">
      <c r="A8" s="15">
        <v>1</v>
      </c>
      <c r="B8" s="16">
        <v>40878</v>
      </c>
      <c r="C8" s="33" t="s">
        <v>1906</v>
      </c>
      <c r="D8" s="18">
        <f>+B8</f>
        <v>40878</v>
      </c>
      <c r="E8" s="19" t="s">
        <v>14</v>
      </c>
      <c r="F8" s="19" t="s">
        <v>1907</v>
      </c>
      <c r="G8" s="21">
        <f>1007.5-(1007.5*0.12)</f>
        <v>886.6</v>
      </c>
    </row>
    <row r="9" spans="1:7" ht="45" x14ac:dyDescent="0.3">
      <c r="A9" s="15">
        <v>2</v>
      </c>
      <c r="B9" s="16">
        <v>40878</v>
      </c>
      <c r="C9" s="33" t="s">
        <v>1908</v>
      </c>
      <c r="D9" s="18">
        <f>+B9</f>
        <v>40878</v>
      </c>
      <c r="E9" s="19" t="s">
        <v>14</v>
      </c>
      <c r="F9" s="19" t="s">
        <v>1909</v>
      </c>
      <c r="G9" s="21">
        <f>425-(425*0.12)</f>
        <v>374</v>
      </c>
    </row>
    <row r="10" spans="1:7" ht="30" x14ac:dyDescent="0.3">
      <c r="A10" s="15">
        <v>3</v>
      </c>
      <c r="B10" s="16">
        <v>40870</v>
      </c>
      <c r="C10" s="33" t="s">
        <v>1910</v>
      </c>
      <c r="D10" s="18">
        <f>+B10+30</f>
        <v>40900</v>
      </c>
      <c r="E10" s="19" t="s">
        <v>1498</v>
      </c>
      <c r="F10" s="19" t="s">
        <v>1911</v>
      </c>
      <c r="G10" s="21">
        <v>308.43</v>
      </c>
    </row>
    <row r="11" spans="1:7" ht="45" x14ac:dyDescent="0.3">
      <c r="A11" s="15">
        <v>4</v>
      </c>
      <c r="B11" s="16">
        <v>40861</v>
      </c>
      <c r="C11" s="33" t="s">
        <v>1869</v>
      </c>
      <c r="D11" s="18">
        <f>+B11+15</f>
        <v>40876</v>
      </c>
      <c r="E11" s="19" t="s">
        <v>1870</v>
      </c>
      <c r="F11" s="19" t="s">
        <v>1871</v>
      </c>
      <c r="G11" s="21">
        <f>184.52+14.75+156.35+407.1+57</f>
        <v>819.72</v>
      </c>
    </row>
    <row r="12" spans="1:7" ht="45" x14ac:dyDescent="0.3">
      <c r="A12" s="15">
        <v>5</v>
      </c>
      <c r="B12" s="16">
        <v>40861</v>
      </c>
      <c r="C12" s="33" t="s">
        <v>1912</v>
      </c>
      <c r="D12" s="18">
        <f>+B12+15</f>
        <v>40876</v>
      </c>
      <c r="E12" s="19" t="s">
        <v>1913</v>
      </c>
      <c r="F12" s="19" t="s">
        <v>1914</v>
      </c>
      <c r="G12" s="21">
        <f>147.5-6.4</f>
        <v>141.1</v>
      </c>
    </row>
    <row r="13" spans="1:7" ht="15" x14ac:dyDescent="0.2">
      <c r="A13" s="22"/>
      <c r="B13" s="22"/>
      <c r="C13" s="23"/>
      <c r="D13" s="24"/>
      <c r="E13" s="25"/>
      <c r="F13" s="26" t="s">
        <v>24</v>
      </c>
      <c r="G13" s="27">
        <f>SUM(G8:G12)</f>
        <v>2529.85</v>
      </c>
    </row>
    <row r="14" spans="1:7" x14ac:dyDescent="0.2">
      <c r="B14" s="35"/>
    </row>
    <row r="17" spans="1:9" x14ac:dyDescent="0.2">
      <c r="B17" s="35"/>
    </row>
    <row r="18" spans="1:9" ht="15" x14ac:dyDescent="0.2">
      <c r="A18" s="22"/>
      <c r="B18" s="22"/>
      <c r="C18" s="23"/>
      <c r="D18" s="24"/>
      <c r="E18" s="25"/>
      <c r="F18" s="55"/>
      <c r="G18" s="68"/>
    </row>
    <row r="19" spans="1:9" ht="15" customHeight="1" x14ac:dyDescent="0.3">
      <c r="A19" s="29"/>
      <c r="B19" s="30"/>
      <c r="C19" s="37"/>
      <c r="D19" s="30"/>
      <c r="E19" s="5"/>
      <c r="F19" s="207" t="s">
        <v>0</v>
      </c>
      <c r="G19" s="207"/>
    </row>
    <row r="20" spans="1:9" ht="18.75" x14ac:dyDescent="0.3">
      <c r="A20" s="31" t="s">
        <v>1</v>
      </c>
      <c r="B20" s="29"/>
      <c r="C20" s="37"/>
      <c r="D20" s="30"/>
      <c r="E20" s="5"/>
      <c r="F20" s="29"/>
      <c r="G20" s="29"/>
    </row>
    <row r="21" spans="1:9" ht="15" x14ac:dyDescent="0.3">
      <c r="A21" s="29"/>
      <c r="B21" s="30"/>
      <c r="C21" s="37"/>
      <c r="D21" s="30"/>
      <c r="E21" s="5"/>
      <c r="F21" s="5"/>
      <c r="G21" s="32"/>
    </row>
    <row r="22" spans="1:9" ht="15" x14ac:dyDescent="0.3">
      <c r="A22" s="29"/>
      <c r="B22" s="30"/>
      <c r="C22" s="37"/>
      <c r="D22" s="30"/>
      <c r="E22" s="5"/>
      <c r="F22" s="5"/>
      <c r="G22" s="32"/>
    </row>
    <row r="23" spans="1:9" ht="18" x14ac:dyDescent="0.25">
      <c r="A23" s="208" t="s">
        <v>1915</v>
      </c>
      <c r="B23" s="208"/>
      <c r="C23" s="208"/>
      <c r="D23" s="208"/>
      <c r="E23" s="208"/>
      <c r="F23" s="208"/>
      <c r="G23" s="208"/>
      <c r="H23" s="35"/>
      <c r="I23" s="35"/>
    </row>
    <row r="24" spans="1:9" ht="15" x14ac:dyDescent="0.3">
      <c r="A24" s="29"/>
      <c r="B24" s="9"/>
      <c r="C24" s="9"/>
      <c r="D24" s="9"/>
      <c r="E24" s="9"/>
      <c r="F24" s="10"/>
      <c r="G24" s="11"/>
    </row>
    <row r="25" spans="1:9" x14ac:dyDescent="0.2">
      <c r="A25" s="12" t="s">
        <v>2</v>
      </c>
      <c r="B25" s="12" t="s">
        <v>3</v>
      </c>
      <c r="C25" s="13" t="s">
        <v>4</v>
      </c>
      <c r="D25" s="14" t="s">
        <v>25</v>
      </c>
      <c r="E25" s="13" t="s">
        <v>6</v>
      </c>
      <c r="F25" s="13" t="s">
        <v>7</v>
      </c>
      <c r="G25" s="13" t="s">
        <v>8</v>
      </c>
    </row>
    <row r="26" spans="1:9" ht="30" x14ac:dyDescent="0.3">
      <c r="A26" s="15">
        <v>1</v>
      </c>
      <c r="B26" s="16">
        <v>40900</v>
      </c>
      <c r="C26" s="33" t="s">
        <v>1916</v>
      </c>
      <c r="D26" s="18" t="s">
        <v>1917</v>
      </c>
      <c r="E26" s="19" t="s">
        <v>1918</v>
      </c>
      <c r="F26" s="19" t="s">
        <v>1919</v>
      </c>
      <c r="G26" s="21">
        <f>118+94.4</f>
        <v>212.4</v>
      </c>
      <c r="H26" t="s">
        <v>27</v>
      </c>
    </row>
    <row r="27" spans="1:9" ht="30" x14ac:dyDescent="0.3">
      <c r="A27" s="15">
        <v>2</v>
      </c>
      <c r="B27" s="16">
        <v>40899</v>
      </c>
      <c r="C27" s="33" t="s">
        <v>1920</v>
      </c>
      <c r="D27" s="18" t="s">
        <v>1921</v>
      </c>
      <c r="E27" s="19" t="s">
        <v>1922</v>
      </c>
      <c r="F27" s="19" t="s">
        <v>249</v>
      </c>
      <c r="G27" s="21">
        <v>118</v>
      </c>
      <c r="H27" t="s">
        <v>27</v>
      </c>
    </row>
    <row r="28" spans="1:9" ht="15" x14ac:dyDescent="0.3">
      <c r="A28" s="15">
        <v>3</v>
      </c>
      <c r="B28" s="16">
        <v>40892</v>
      </c>
      <c r="C28" s="33" t="s">
        <v>1923</v>
      </c>
      <c r="D28" s="18" t="s">
        <v>1924</v>
      </c>
      <c r="E28" s="19" t="s">
        <v>1925</v>
      </c>
      <c r="F28" s="19" t="s">
        <v>1926</v>
      </c>
      <c r="G28" s="21">
        <v>181.72</v>
      </c>
      <c r="H28" t="s">
        <v>27</v>
      </c>
    </row>
    <row r="29" spans="1:9" ht="75" x14ac:dyDescent="0.3">
      <c r="A29" s="15">
        <v>4</v>
      </c>
      <c r="B29" s="16">
        <v>40872</v>
      </c>
      <c r="C29" s="33" t="s">
        <v>1927</v>
      </c>
      <c r="D29" s="18" t="s">
        <v>1928</v>
      </c>
      <c r="E29" s="19" t="s">
        <v>1929</v>
      </c>
      <c r="F29" s="19" t="s">
        <v>1930</v>
      </c>
      <c r="G29" s="21">
        <f>3610.8-(3610.8*0.12)</f>
        <v>3177.5040000000004</v>
      </c>
      <c r="H29" t="s">
        <v>27</v>
      </c>
    </row>
    <row r="30" spans="1:9" ht="75" customHeight="1" x14ac:dyDescent="0.3">
      <c r="A30" s="15">
        <v>5</v>
      </c>
      <c r="B30" s="16">
        <v>40898</v>
      </c>
      <c r="C30" s="33" t="s">
        <v>29</v>
      </c>
      <c r="D30" s="18" t="s">
        <v>1931</v>
      </c>
      <c r="E30" s="19" t="s">
        <v>1635</v>
      </c>
      <c r="F30" s="19" t="s">
        <v>1932</v>
      </c>
      <c r="G30" s="21">
        <v>16082.93</v>
      </c>
      <c r="H30" t="s">
        <v>27</v>
      </c>
      <c r="I30" s="35">
        <v>40898</v>
      </c>
    </row>
    <row r="31" spans="1:9" ht="45" x14ac:dyDescent="0.3">
      <c r="A31" s="15">
        <v>6</v>
      </c>
      <c r="B31" s="16">
        <v>40898</v>
      </c>
      <c r="C31" s="33" t="s">
        <v>29</v>
      </c>
      <c r="D31" s="18" t="s">
        <v>1933</v>
      </c>
      <c r="E31" s="19" t="s">
        <v>208</v>
      </c>
      <c r="F31" s="19" t="s">
        <v>1934</v>
      </c>
      <c r="G31" s="21">
        <v>11081.45</v>
      </c>
      <c r="H31" t="s">
        <v>27</v>
      </c>
      <c r="I31" s="35">
        <v>40898</v>
      </c>
    </row>
    <row r="32" spans="1:9" ht="30" x14ac:dyDescent="0.3">
      <c r="A32" s="15">
        <v>7</v>
      </c>
      <c r="B32" s="16">
        <v>40897</v>
      </c>
      <c r="C32" s="33" t="s">
        <v>1935</v>
      </c>
      <c r="D32" s="18" t="s">
        <v>1936</v>
      </c>
      <c r="E32" s="19" t="s">
        <v>1937</v>
      </c>
      <c r="F32" s="19" t="s">
        <v>1938</v>
      </c>
      <c r="G32" s="21">
        <v>360.42</v>
      </c>
      <c r="H32" t="s">
        <v>27</v>
      </c>
    </row>
    <row r="33" spans="1:9" ht="15" x14ac:dyDescent="0.3">
      <c r="A33" s="29"/>
      <c r="B33" s="30"/>
      <c r="C33" s="37"/>
      <c r="D33" s="30"/>
      <c r="E33" s="5"/>
      <c r="F33" s="46" t="s">
        <v>24</v>
      </c>
      <c r="G33" s="103">
        <f>SUM(G26:G32)</f>
        <v>31214.423999999999</v>
      </c>
    </row>
    <row r="34" spans="1:9" x14ac:dyDescent="0.2">
      <c r="B34" s="35"/>
    </row>
    <row r="39" spans="1:9" x14ac:dyDescent="0.2">
      <c r="G39" s="35"/>
      <c r="H39" s="35"/>
      <c r="I39" s="35"/>
    </row>
  </sheetData>
  <sheetProtection selectLockedCells="1" selectUnlockedCells="1"/>
  <mergeCells count="4">
    <mergeCell ref="F1:G1"/>
    <mergeCell ref="A5:G5"/>
    <mergeCell ref="F19:G19"/>
    <mergeCell ref="A23:G23"/>
  </mergeCells>
  <printOptions horizontalCentered="1"/>
  <pageMargins left="0" right="0" top="0.74791666666666667" bottom="0.74791666666666667" header="0.51180555555555551" footer="0.51180555555555551"/>
  <pageSetup paperSize="9" scale="85" firstPageNumber="0" orientation="portrait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5"/>
  <dimension ref="A1:I67"/>
  <sheetViews>
    <sheetView workbookViewId="0">
      <selection activeCell="A37" sqref="A37"/>
    </sheetView>
  </sheetViews>
  <sheetFormatPr baseColWidth="10" defaultColWidth="10.7109375" defaultRowHeight="12.75" x14ac:dyDescent="0.2"/>
  <cols>
    <col min="1" max="1" width="3.85546875" customWidth="1"/>
    <col min="2" max="2" width="12.85546875" customWidth="1"/>
    <col min="4" max="4" width="12.85546875" customWidth="1"/>
    <col min="5" max="5" width="31.7109375" customWidth="1"/>
    <col min="6" max="6" width="26.42578125" customWidth="1"/>
    <col min="7" max="7" width="15.5703125" customWidth="1"/>
  </cols>
  <sheetData>
    <row r="1" spans="1:7" ht="15" customHeight="1" x14ac:dyDescent="0.3">
      <c r="A1" s="1"/>
      <c r="B1" s="2"/>
      <c r="C1" s="3"/>
      <c r="D1" s="4"/>
      <c r="E1" s="5"/>
      <c r="F1" s="207" t="s">
        <v>0</v>
      </c>
      <c r="G1" s="207"/>
    </row>
    <row r="2" spans="1:7" ht="18.75" x14ac:dyDescent="0.3">
      <c r="A2" s="7" t="s">
        <v>1</v>
      </c>
      <c r="B2" s="7"/>
      <c r="C2" s="3"/>
      <c r="D2" s="4"/>
      <c r="E2" s="5"/>
      <c r="F2" s="5"/>
      <c r="G2" s="8"/>
    </row>
    <row r="3" spans="1:7" ht="15" x14ac:dyDescent="0.3">
      <c r="A3" s="1"/>
      <c r="B3" s="2"/>
      <c r="C3" s="3"/>
      <c r="D3" s="4"/>
      <c r="E3" s="5"/>
      <c r="F3" s="5"/>
      <c r="G3" s="8"/>
    </row>
    <row r="4" spans="1:7" ht="15" x14ac:dyDescent="0.3">
      <c r="A4" s="1"/>
      <c r="B4" s="2"/>
      <c r="C4" s="3"/>
      <c r="D4" s="4"/>
      <c r="E4" s="5"/>
      <c r="F4" s="5"/>
      <c r="G4" s="8"/>
    </row>
    <row r="5" spans="1:7" ht="18" x14ac:dyDescent="0.25">
      <c r="A5" s="208" t="s">
        <v>1939</v>
      </c>
      <c r="B5" s="208"/>
      <c r="C5" s="208"/>
      <c r="D5" s="208"/>
      <c r="E5" s="208"/>
      <c r="F5" s="208"/>
      <c r="G5" s="208"/>
    </row>
    <row r="6" spans="1:7" ht="15" x14ac:dyDescent="0.3">
      <c r="A6" s="1"/>
      <c r="B6" s="9"/>
      <c r="C6" s="9"/>
      <c r="D6" s="9"/>
      <c r="E6" s="9"/>
      <c r="F6" s="10"/>
      <c r="G6" s="11"/>
    </row>
    <row r="7" spans="1:7" x14ac:dyDescent="0.2">
      <c r="A7" s="12" t="s">
        <v>2</v>
      </c>
      <c r="B7" s="12" t="s">
        <v>3</v>
      </c>
      <c r="C7" s="13" t="s">
        <v>4</v>
      </c>
      <c r="D7" s="14" t="s">
        <v>5</v>
      </c>
      <c r="E7" s="13" t="s">
        <v>6</v>
      </c>
      <c r="F7" s="13" t="s">
        <v>7</v>
      </c>
      <c r="G7" s="13" t="s">
        <v>32</v>
      </c>
    </row>
    <row r="8" spans="1:7" ht="30" x14ac:dyDescent="0.3">
      <c r="A8" s="15">
        <v>1</v>
      </c>
      <c r="B8" s="16">
        <v>40877</v>
      </c>
      <c r="C8" s="33" t="s">
        <v>1940</v>
      </c>
      <c r="D8" s="18">
        <f>+B8+30</f>
        <v>40907</v>
      </c>
      <c r="E8" s="19" t="s">
        <v>85</v>
      </c>
      <c r="F8" s="19" t="s">
        <v>1941</v>
      </c>
      <c r="G8" s="21">
        <f>418.4+8.37</f>
        <v>426.77</v>
      </c>
    </row>
    <row r="9" spans="1:7" ht="30" x14ac:dyDescent="0.3">
      <c r="A9" s="15">
        <v>2</v>
      </c>
      <c r="B9" s="16">
        <v>40891</v>
      </c>
      <c r="C9" s="33" t="s">
        <v>1942</v>
      </c>
      <c r="D9" s="18">
        <f>+B9</f>
        <v>40891</v>
      </c>
      <c r="E9" s="19" t="s">
        <v>219</v>
      </c>
      <c r="F9" s="19" t="s">
        <v>1943</v>
      </c>
      <c r="G9" s="21">
        <v>212.4</v>
      </c>
    </row>
    <row r="10" spans="1:7" ht="60" x14ac:dyDescent="0.3">
      <c r="A10" s="15">
        <v>3</v>
      </c>
      <c r="B10" s="16">
        <v>40889</v>
      </c>
      <c r="C10" s="33" t="s">
        <v>1944</v>
      </c>
      <c r="D10" s="18">
        <f>+B10</f>
        <v>40889</v>
      </c>
      <c r="E10" s="19" t="s">
        <v>219</v>
      </c>
      <c r="F10" s="19" t="s">
        <v>1945</v>
      </c>
      <c r="G10" s="21">
        <v>7386.8</v>
      </c>
    </row>
    <row r="11" spans="1:7" ht="30" x14ac:dyDescent="0.3">
      <c r="A11" s="15">
        <v>4</v>
      </c>
      <c r="B11" s="16">
        <v>40866</v>
      </c>
      <c r="C11" s="33" t="s">
        <v>1946</v>
      </c>
      <c r="D11" s="18">
        <f t="shared" ref="D11:D22" si="0">+B11+15</f>
        <v>40881</v>
      </c>
      <c r="E11" s="19" t="s">
        <v>233</v>
      </c>
      <c r="F11" s="19" t="s">
        <v>1748</v>
      </c>
      <c r="G11" s="21">
        <f>92+1.84</f>
        <v>93.84</v>
      </c>
    </row>
    <row r="12" spans="1:7" ht="30" x14ac:dyDescent="0.3">
      <c r="A12" s="15">
        <v>5</v>
      </c>
      <c r="B12" s="16">
        <v>40880</v>
      </c>
      <c r="C12" s="33" t="s">
        <v>1947</v>
      </c>
      <c r="D12" s="18">
        <f t="shared" si="0"/>
        <v>40895</v>
      </c>
      <c r="E12" s="19" t="s">
        <v>233</v>
      </c>
      <c r="F12" s="19" t="s">
        <v>1862</v>
      </c>
      <c r="G12" s="21">
        <f>138+2.76</f>
        <v>140.76</v>
      </c>
    </row>
    <row r="13" spans="1:7" ht="30" x14ac:dyDescent="0.3">
      <c r="A13" s="15">
        <v>6</v>
      </c>
      <c r="B13" s="16">
        <v>40890</v>
      </c>
      <c r="C13" s="33" t="s">
        <v>1948</v>
      </c>
      <c r="D13" s="18">
        <f t="shared" si="0"/>
        <v>40905</v>
      </c>
      <c r="E13" s="19" t="s">
        <v>233</v>
      </c>
      <c r="F13" s="19" t="s">
        <v>1862</v>
      </c>
      <c r="G13" s="21">
        <f>138+2.76</f>
        <v>140.76</v>
      </c>
    </row>
    <row r="14" spans="1:7" ht="30" x14ac:dyDescent="0.3">
      <c r="A14" s="15">
        <v>7</v>
      </c>
      <c r="B14" s="16">
        <v>40891</v>
      </c>
      <c r="C14" s="33" t="s">
        <v>1949</v>
      </c>
      <c r="D14" s="18">
        <f t="shared" si="0"/>
        <v>40906</v>
      </c>
      <c r="E14" s="19" t="s">
        <v>1471</v>
      </c>
      <c r="F14" s="19" t="s">
        <v>1950</v>
      </c>
      <c r="G14" s="21">
        <v>531</v>
      </c>
    </row>
    <row r="15" spans="1:7" ht="30" x14ac:dyDescent="0.3">
      <c r="A15" s="15">
        <v>8</v>
      </c>
      <c r="B15" s="16">
        <v>40891</v>
      </c>
      <c r="C15" s="33" t="s">
        <v>1951</v>
      </c>
      <c r="D15" s="18">
        <f t="shared" si="0"/>
        <v>40906</v>
      </c>
      <c r="E15" s="19" t="s">
        <v>1471</v>
      </c>
      <c r="F15" s="19" t="s">
        <v>1950</v>
      </c>
      <c r="G15" s="21">
        <v>236</v>
      </c>
    </row>
    <row r="16" spans="1:7" ht="30" x14ac:dyDescent="0.3">
      <c r="A16" s="15">
        <v>9</v>
      </c>
      <c r="B16" s="16">
        <v>40891</v>
      </c>
      <c r="C16" s="33" t="s">
        <v>1952</v>
      </c>
      <c r="D16" s="18">
        <f t="shared" si="0"/>
        <v>40906</v>
      </c>
      <c r="E16" s="19" t="s">
        <v>1471</v>
      </c>
      <c r="F16" s="19" t="s">
        <v>1950</v>
      </c>
      <c r="G16" s="21">
        <v>206.5</v>
      </c>
    </row>
    <row r="17" spans="1:7" ht="30" x14ac:dyDescent="0.3">
      <c r="A17" s="15">
        <v>10</v>
      </c>
      <c r="B17" s="16">
        <v>40891</v>
      </c>
      <c r="C17" s="33" t="s">
        <v>1953</v>
      </c>
      <c r="D17" s="18">
        <f t="shared" si="0"/>
        <v>40906</v>
      </c>
      <c r="E17" s="19" t="s">
        <v>1471</v>
      </c>
      <c r="F17" s="19" t="s">
        <v>1950</v>
      </c>
      <c r="G17" s="21">
        <v>531</v>
      </c>
    </row>
    <row r="18" spans="1:7" ht="30" x14ac:dyDescent="0.3">
      <c r="A18" s="15">
        <v>11</v>
      </c>
      <c r="B18" s="16">
        <v>40891</v>
      </c>
      <c r="C18" s="33" t="s">
        <v>1954</v>
      </c>
      <c r="D18" s="18">
        <f t="shared" si="0"/>
        <v>40906</v>
      </c>
      <c r="E18" s="19" t="s">
        <v>1471</v>
      </c>
      <c r="F18" s="19" t="s">
        <v>1950</v>
      </c>
      <c r="G18" s="21">
        <v>177</v>
      </c>
    </row>
    <row r="19" spans="1:7" ht="30" x14ac:dyDescent="0.3">
      <c r="A19" s="15">
        <v>12</v>
      </c>
      <c r="B19" s="16">
        <v>40882</v>
      </c>
      <c r="C19" s="33" t="s">
        <v>1955</v>
      </c>
      <c r="D19" s="18">
        <f t="shared" si="0"/>
        <v>40897</v>
      </c>
      <c r="E19" s="19" t="s">
        <v>1471</v>
      </c>
      <c r="F19" s="19" t="s">
        <v>1950</v>
      </c>
      <c r="G19" s="21">
        <v>590</v>
      </c>
    </row>
    <row r="20" spans="1:7" ht="30" x14ac:dyDescent="0.3">
      <c r="A20" s="15">
        <v>13</v>
      </c>
      <c r="B20" s="16">
        <v>40882</v>
      </c>
      <c r="C20" s="33" t="s">
        <v>1956</v>
      </c>
      <c r="D20" s="18">
        <f t="shared" si="0"/>
        <v>40897</v>
      </c>
      <c r="E20" s="19" t="s">
        <v>1471</v>
      </c>
      <c r="F20" s="19" t="s">
        <v>1950</v>
      </c>
      <c r="G20" s="21">
        <v>324.5</v>
      </c>
    </row>
    <row r="21" spans="1:7" ht="15" x14ac:dyDescent="0.3">
      <c r="A21" s="15">
        <v>14</v>
      </c>
      <c r="B21" s="16">
        <v>40892</v>
      </c>
      <c r="C21" s="33" t="s">
        <v>1957</v>
      </c>
      <c r="D21" s="18">
        <f t="shared" si="0"/>
        <v>40907</v>
      </c>
      <c r="E21" s="19" t="s">
        <v>787</v>
      </c>
      <c r="F21" s="19" t="s">
        <v>1958</v>
      </c>
      <c r="G21" s="21">
        <v>85</v>
      </c>
    </row>
    <row r="22" spans="1:7" ht="30" x14ac:dyDescent="0.3">
      <c r="A22" s="15">
        <v>15</v>
      </c>
      <c r="B22" s="16">
        <v>40889</v>
      </c>
      <c r="C22" s="33" t="s">
        <v>1959</v>
      </c>
      <c r="D22" s="18">
        <f t="shared" si="0"/>
        <v>40904</v>
      </c>
      <c r="E22" s="19" t="s">
        <v>1467</v>
      </c>
      <c r="F22" s="19" t="s">
        <v>1950</v>
      </c>
      <c r="G22" s="21">
        <v>590</v>
      </c>
    </row>
    <row r="23" spans="1:7" ht="45" x14ac:dyDescent="0.3">
      <c r="A23" s="15">
        <v>16</v>
      </c>
      <c r="B23" s="16">
        <v>40896</v>
      </c>
      <c r="C23" s="33" t="s">
        <v>1960</v>
      </c>
      <c r="D23" s="18">
        <f>+B23</f>
        <v>40896</v>
      </c>
      <c r="E23" s="19" t="s">
        <v>611</v>
      </c>
      <c r="F23" s="19" t="s">
        <v>1961</v>
      </c>
      <c r="G23" s="21">
        <v>3900</v>
      </c>
    </row>
    <row r="24" spans="1:7" ht="30" x14ac:dyDescent="0.3">
      <c r="A24" s="15">
        <v>17</v>
      </c>
      <c r="B24" s="16">
        <v>40878</v>
      </c>
      <c r="C24" s="33">
        <v>62527384</v>
      </c>
      <c r="D24" s="18">
        <f>+B24+30</f>
        <v>40908</v>
      </c>
      <c r="E24" s="19" t="s">
        <v>393</v>
      </c>
      <c r="F24" s="19" t="s">
        <v>1962</v>
      </c>
      <c r="G24" s="21">
        <v>787.98</v>
      </c>
    </row>
    <row r="25" spans="1:7" ht="30" x14ac:dyDescent="0.3">
      <c r="A25" s="15">
        <v>18</v>
      </c>
      <c r="B25" s="16">
        <v>40878</v>
      </c>
      <c r="C25" s="33">
        <v>74461010</v>
      </c>
      <c r="D25" s="18">
        <f>+B25+30</f>
        <v>40908</v>
      </c>
      <c r="E25" s="19" t="s">
        <v>67</v>
      </c>
      <c r="F25" s="19" t="s">
        <v>1963</v>
      </c>
      <c r="G25" s="21">
        <v>1182.5999999999999</v>
      </c>
    </row>
    <row r="26" spans="1:7" ht="15" x14ac:dyDescent="0.2">
      <c r="A26" s="22"/>
      <c r="B26" s="22"/>
      <c r="C26" s="23"/>
      <c r="D26" s="24"/>
      <c r="E26" s="25"/>
      <c r="F26" s="26" t="s">
        <v>24</v>
      </c>
      <c r="G26" s="36">
        <f>SUM(G8:G25)</f>
        <v>17542.91</v>
      </c>
    </row>
    <row r="30" spans="1:7" ht="12.75" customHeight="1" x14ac:dyDescent="0.2">
      <c r="F30" s="207" t="s">
        <v>0</v>
      </c>
      <c r="G30" s="207"/>
    </row>
    <row r="31" spans="1:7" ht="18.75" x14ac:dyDescent="0.3">
      <c r="A31" s="31" t="s">
        <v>1</v>
      </c>
      <c r="B31" s="29"/>
      <c r="C31" s="37"/>
      <c r="D31" s="30"/>
      <c r="E31" s="5"/>
      <c r="F31" s="29"/>
      <c r="G31" s="29"/>
    </row>
    <row r="32" spans="1:7" ht="15" x14ac:dyDescent="0.3">
      <c r="A32" s="29"/>
      <c r="B32" s="30"/>
      <c r="C32" s="37"/>
      <c r="D32" s="30"/>
      <c r="E32" s="5"/>
      <c r="F32" s="5"/>
      <c r="G32" s="32"/>
    </row>
    <row r="33" spans="1:9" ht="15" x14ac:dyDescent="0.3">
      <c r="A33" s="29"/>
      <c r="B33" s="30"/>
      <c r="C33" s="37"/>
      <c r="D33" s="30"/>
      <c r="E33" s="5"/>
      <c r="F33" s="5"/>
      <c r="G33" s="32"/>
    </row>
    <row r="34" spans="1:9" ht="18" x14ac:dyDescent="0.25">
      <c r="A34" s="208" t="s">
        <v>1875</v>
      </c>
      <c r="B34" s="208"/>
      <c r="C34" s="208"/>
      <c r="D34" s="208"/>
      <c r="E34" s="208"/>
      <c r="F34" s="208"/>
      <c r="G34" s="208"/>
    </row>
    <row r="35" spans="1:9" ht="15" x14ac:dyDescent="0.3">
      <c r="A35" s="29"/>
      <c r="B35" s="9"/>
      <c r="C35" s="9"/>
      <c r="D35" s="9"/>
      <c r="E35" s="9"/>
      <c r="F35" s="10"/>
      <c r="G35" s="11"/>
    </row>
    <row r="36" spans="1:9" x14ac:dyDescent="0.2">
      <c r="A36" s="12" t="s">
        <v>2</v>
      </c>
      <c r="B36" s="12" t="s">
        <v>3</v>
      </c>
      <c r="C36" s="13" t="s">
        <v>4</v>
      </c>
      <c r="D36" s="14" t="s">
        <v>25</v>
      </c>
      <c r="E36" s="13" t="s">
        <v>6</v>
      </c>
      <c r="F36" s="13" t="s">
        <v>7</v>
      </c>
      <c r="G36" s="13" t="s">
        <v>32</v>
      </c>
    </row>
    <row r="37" spans="1:9" ht="30" x14ac:dyDescent="0.3">
      <c r="A37" s="15">
        <v>1</v>
      </c>
      <c r="B37" s="16">
        <v>40878</v>
      </c>
      <c r="C37" s="33" t="s">
        <v>1964</v>
      </c>
      <c r="D37" s="18" t="s">
        <v>1965</v>
      </c>
      <c r="E37" s="19" t="s">
        <v>1966</v>
      </c>
      <c r="F37" s="19" t="s">
        <v>1967</v>
      </c>
      <c r="G37" s="21">
        <v>1974.62</v>
      </c>
      <c r="H37" t="s">
        <v>27</v>
      </c>
      <c r="I37" t="s">
        <v>1968</v>
      </c>
    </row>
    <row r="38" spans="1:9" ht="30" x14ac:dyDescent="0.3">
      <c r="A38" s="15">
        <v>2</v>
      </c>
      <c r="B38" s="16">
        <v>40889</v>
      </c>
      <c r="C38" s="33" t="s">
        <v>1969</v>
      </c>
      <c r="D38" s="18" t="s">
        <v>1970</v>
      </c>
      <c r="E38" s="19" t="s">
        <v>1966</v>
      </c>
      <c r="F38" s="19" t="s">
        <v>1971</v>
      </c>
      <c r="G38" s="21">
        <v>1899.96</v>
      </c>
      <c r="H38" t="s">
        <v>27</v>
      </c>
      <c r="I38" t="s">
        <v>1968</v>
      </c>
    </row>
    <row r="39" spans="1:9" ht="30" x14ac:dyDescent="0.3">
      <c r="A39" s="15">
        <v>3</v>
      </c>
      <c r="B39" s="16">
        <v>40900</v>
      </c>
      <c r="C39" s="33" t="s">
        <v>1406</v>
      </c>
      <c r="D39" s="18" t="s">
        <v>1972</v>
      </c>
      <c r="E39" s="19" t="s">
        <v>260</v>
      </c>
      <c r="F39" s="19" t="s">
        <v>1973</v>
      </c>
      <c r="G39" s="21">
        <v>1592.4</v>
      </c>
      <c r="H39" t="s">
        <v>27</v>
      </c>
      <c r="I39" s="35">
        <v>40904</v>
      </c>
    </row>
    <row r="40" spans="1:9" ht="45" x14ac:dyDescent="0.3">
      <c r="A40" s="15">
        <v>4</v>
      </c>
      <c r="B40" s="16">
        <v>40899</v>
      </c>
      <c r="C40" s="33" t="s">
        <v>1406</v>
      </c>
      <c r="D40" s="18" t="s">
        <v>1974</v>
      </c>
      <c r="E40" s="19" t="s">
        <v>1681</v>
      </c>
      <c r="F40" s="19" t="s">
        <v>1975</v>
      </c>
      <c r="G40" s="21">
        <v>400</v>
      </c>
      <c r="H40" t="s">
        <v>27</v>
      </c>
    </row>
    <row r="41" spans="1:9" ht="90" x14ac:dyDescent="0.3">
      <c r="A41" s="15">
        <v>5</v>
      </c>
      <c r="B41" s="16">
        <v>40903</v>
      </c>
      <c r="C41" s="33" t="s">
        <v>1976</v>
      </c>
      <c r="D41" s="18" t="s">
        <v>1977</v>
      </c>
      <c r="E41" s="19" t="s">
        <v>208</v>
      </c>
      <c r="F41" s="19" t="s">
        <v>1978</v>
      </c>
      <c r="G41" s="21">
        <f>251.3+116.5+239.45+198.7+118.7</f>
        <v>924.65000000000009</v>
      </c>
      <c r="H41" t="s">
        <v>27</v>
      </c>
    </row>
    <row r="42" spans="1:9" ht="30" x14ac:dyDescent="0.3">
      <c r="A42" s="15">
        <v>6</v>
      </c>
      <c r="B42" s="16">
        <v>40854</v>
      </c>
      <c r="C42" s="33" t="s">
        <v>1979</v>
      </c>
      <c r="D42" s="18" t="s">
        <v>1980</v>
      </c>
      <c r="E42" s="19" t="s">
        <v>1981</v>
      </c>
      <c r="F42" s="19" t="s">
        <v>1982</v>
      </c>
      <c r="G42" s="21">
        <v>2950</v>
      </c>
      <c r="H42" t="s">
        <v>27</v>
      </c>
      <c r="I42" t="s">
        <v>1983</v>
      </c>
    </row>
    <row r="43" spans="1:9" ht="30" x14ac:dyDescent="0.3">
      <c r="A43" s="15">
        <v>7</v>
      </c>
      <c r="B43" s="16">
        <v>40871</v>
      </c>
      <c r="C43" s="33" t="s">
        <v>1406</v>
      </c>
      <c r="D43" s="18" t="s">
        <v>1984</v>
      </c>
      <c r="E43" s="19" t="s">
        <v>1885</v>
      </c>
      <c r="F43" s="19" t="s">
        <v>446</v>
      </c>
      <c r="G43" s="21">
        <v>10733.51</v>
      </c>
      <c r="H43" t="s">
        <v>27</v>
      </c>
    </row>
    <row r="44" spans="1:9" ht="51.75" x14ac:dyDescent="0.3">
      <c r="A44" s="15">
        <v>8</v>
      </c>
      <c r="B44" s="16">
        <v>40908</v>
      </c>
      <c r="C44" s="33" t="s">
        <v>1902</v>
      </c>
      <c r="D44" s="18" t="s">
        <v>1985</v>
      </c>
      <c r="E44" s="19" t="s">
        <v>110</v>
      </c>
      <c r="F44" s="19" t="s">
        <v>1904</v>
      </c>
      <c r="G44" s="21">
        <f>1241.47+540.22+408.29</f>
        <v>2189.98</v>
      </c>
      <c r="H44" t="s">
        <v>27</v>
      </c>
    </row>
    <row r="45" spans="1:9" ht="30" x14ac:dyDescent="0.3">
      <c r="A45" s="15">
        <v>9</v>
      </c>
      <c r="B45" s="16">
        <v>40896</v>
      </c>
      <c r="C45" s="33" t="s">
        <v>1986</v>
      </c>
      <c r="D45" s="18" t="s">
        <v>1987</v>
      </c>
      <c r="E45" s="19" t="s">
        <v>1681</v>
      </c>
      <c r="F45" s="19" t="s">
        <v>242</v>
      </c>
      <c r="G45" s="21">
        <v>2430</v>
      </c>
      <c r="H45" t="s">
        <v>27</v>
      </c>
    </row>
    <row r="46" spans="1:9" ht="51.75" x14ac:dyDescent="0.3">
      <c r="A46" s="15">
        <v>10</v>
      </c>
      <c r="B46" s="16">
        <v>40899</v>
      </c>
      <c r="C46" s="33" t="s">
        <v>1988</v>
      </c>
      <c r="D46" s="18" t="s">
        <v>1989</v>
      </c>
      <c r="E46" s="19" t="s">
        <v>1990</v>
      </c>
      <c r="F46" s="19" t="s">
        <v>1991</v>
      </c>
      <c r="G46" s="21">
        <f>186+30+25+343</f>
        <v>584</v>
      </c>
      <c r="H46" t="s">
        <v>27</v>
      </c>
    </row>
    <row r="47" spans="1:9" ht="16.5" customHeight="1" x14ac:dyDescent="0.3">
      <c r="A47" s="29"/>
      <c r="B47" s="30"/>
      <c r="C47" s="37"/>
      <c r="D47" s="30"/>
      <c r="E47" s="5"/>
      <c r="F47" s="46" t="s">
        <v>24</v>
      </c>
      <c r="G47" s="36">
        <f>SUM(G37:G46)</f>
        <v>25679.119999999999</v>
      </c>
    </row>
    <row r="52" spans="1:7" x14ac:dyDescent="0.2">
      <c r="A52" s="216" t="s">
        <v>1807</v>
      </c>
      <c r="B52" s="216"/>
      <c r="C52" s="216"/>
      <c r="D52" s="216"/>
      <c r="E52" s="216"/>
      <c r="F52" s="216"/>
      <c r="G52" s="216"/>
    </row>
    <row r="53" spans="1:7" x14ac:dyDescent="0.2">
      <c r="A53" s="216"/>
      <c r="B53" s="216"/>
      <c r="C53" s="216"/>
      <c r="D53" s="216"/>
      <c r="E53" s="216"/>
      <c r="F53" s="216"/>
      <c r="G53" s="216"/>
    </row>
    <row r="54" spans="1:7" x14ac:dyDescent="0.2">
      <c r="A54" s="216"/>
      <c r="B54" s="216"/>
      <c r="C54" s="216"/>
      <c r="D54" s="216"/>
      <c r="E54" s="216"/>
      <c r="F54" s="216"/>
      <c r="G54" s="216"/>
    </row>
    <row r="58" spans="1:7" ht="12.75" customHeight="1" x14ac:dyDescent="0.2">
      <c r="F58" s="207" t="s">
        <v>0</v>
      </c>
      <c r="G58" s="207"/>
    </row>
    <row r="59" spans="1:7" ht="18.75" x14ac:dyDescent="0.3">
      <c r="A59" s="31" t="s">
        <v>1</v>
      </c>
      <c r="B59" s="29"/>
      <c r="C59" s="37"/>
      <c r="D59" s="30"/>
      <c r="E59" s="5"/>
      <c r="F59" s="29"/>
      <c r="G59" s="29"/>
    </row>
    <row r="60" spans="1:7" ht="15" x14ac:dyDescent="0.3">
      <c r="A60" s="29"/>
      <c r="B60" s="30"/>
      <c r="C60" s="37"/>
      <c r="D60" s="30"/>
      <c r="E60" s="5"/>
      <c r="F60" s="5"/>
      <c r="G60" s="32"/>
    </row>
    <row r="61" spans="1:7" ht="15" x14ac:dyDescent="0.3">
      <c r="A61" s="29"/>
      <c r="B61" s="30"/>
      <c r="C61" s="37"/>
      <c r="D61" s="30"/>
      <c r="E61" s="5"/>
      <c r="F61" s="5"/>
      <c r="G61" s="32"/>
    </row>
    <row r="62" spans="1:7" ht="18" x14ac:dyDescent="0.25">
      <c r="A62" s="208" t="s">
        <v>1875</v>
      </c>
      <c r="B62" s="208"/>
      <c r="C62" s="208"/>
      <c r="D62" s="208"/>
      <c r="E62" s="208"/>
      <c r="F62" s="208"/>
      <c r="G62" s="208"/>
    </row>
    <row r="63" spans="1:7" ht="15" x14ac:dyDescent="0.3">
      <c r="A63" s="29"/>
      <c r="B63" s="9"/>
      <c r="C63" s="9"/>
      <c r="D63" s="9"/>
      <c r="E63" s="9"/>
      <c r="F63" s="10"/>
      <c r="G63" s="11"/>
    </row>
    <row r="64" spans="1:7" x14ac:dyDescent="0.2">
      <c r="A64" s="12" t="s">
        <v>2</v>
      </c>
      <c r="B64" s="12" t="s">
        <v>3</v>
      </c>
      <c r="C64" s="13" t="s">
        <v>4</v>
      </c>
      <c r="D64" s="14" t="s">
        <v>25</v>
      </c>
      <c r="E64" s="13" t="s">
        <v>6</v>
      </c>
      <c r="F64" s="13" t="s">
        <v>7</v>
      </c>
      <c r="G64" s="13" t="s">
        <v>32</v>
      </c>
    </row>
    <row r="65" spans="1:8" ht="45" x14ac:dyDescent="0.3">
      <c r="A65" s="15">
        <v>1</v>
      </c>
      <c r="B65" s="16">
        <v>40899</v>
      </c>
      <c r="C65" s="33" t="s">
        <v>1992</v>
      </c>
      <c r="D65" s="18" t="s">
        <v>1993</v>
      </c>
      <c r="E65" s="19" t="s">
        <v>1994</v>
      </c>
      <c r="F65" s="19" t="s">
        <v>1995</v>
      </c>
      <c r="G65" s="21">
        <v>519200</v>
      </c>
      <c r="H65" t="s">
        <v>27</v>
      </c>
    </row>
    <row r="66" spans="1:8" ht="30" x14ac:dyDescent="0.3">
      <c r="A66" s="15">
        <v>2</v>
      </c>
      <c r="B66" s="16">
        <v>40904</v>
      </c>
      <c r="C66" s="33" t="s">
        <v>1996</v>
      </c>
      <c r="D66" s="18" t="s">
        <v>1997</v>
      </c>
      <c r="E66" s="19" t="s">
        <v>1998</v>
      </c>
      <c r="F66" s="19" t="s">
        <v>96</v>
      </c>
      <c r="G66" s="21">
        <f>7611-(7611*0.04)</f>
        <v>7306.56</v>
      </c>
      <c r="H66" t="s">
        <v>27</v>
      </c>
    </row>
    <row r="67" spans="1:8" ht="15" x14ac:dyDescent="0.3">
      <c r="A67" s="29"/>
      <c r="B67" s="30"/>
      <c r="C67" s="37"/>
      <c r="D67" s="30"/>
      <c r="E67" s="5"/>
      <c r="F67" s="46" t="s">
        <v>24</v>
      </c>
      <c r="G67" s="36">
        <f>SUM(G65:G66)</f>
        <v>526506.56000000006</v>
      </c>
    </row>
  </sheetData>
  <sheetProtection selectLockedCells="1" selectUnlockedCells="1"/>
  <mergeCells count="7">
    <mergeCell ref="A62:G62"/>
    <mergeCell ref="F1:G1"/>
    <mergeCell ref="A5:G5"/>
    <mergeCell ref="F30:G30"/>
    <mergeCell ref="A34:G34"/>
    <mergeCell ref="A52:G54"/>
    <mergeCell ref="F58:G58"/>
  </mergeCells>
  <printOptions horizontalCentered="1"/>
  <pageMargins left="0" right="0" top="0.74791666666666667" bottom="0.74791666666666667" header="0.51180555555555551" footer="0.51180555555555551"/>
  <pageSetup paperSize="9" scale="90" firstPageNumber="0" orientation="portrait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6"/>
  <dimension ref="A1:I49"/>
  <sheetViews>
    <sheetView workbookViewId="0">
      <selection activeCell="A37" sqref="A37"/>
    </sheetView>
  </sheetViews>
  <sheetFormatPr baseColWidth="10" defaultColWidth="10.7109375" defaultRowHeight="12.75" x14ac:dyDescent="0.2"/>
  <cols>
    <col min="1" max="1" width="3.85546875" customWidth="1"/>
    <col min="2" max="2" width="13.85546875" customWidth="1"/>
    <col min="3" max="3" width="15.5703125" customWidth="1"/>
    <col min="4" max="4" width="14.42578125" customWidth="1"/>
    <col min="5" max="5" width="23.28515625" customWidth="1"/>
    <col min="6" max="6" width="27.28515625" customWidth="1"/>
    <col min="7" max="7" width="13" customWidth="1"/>
  </cols>
  <sheetData>
    <row r="1" spans="1:7" ht="15" customHeight="1" x14ac:dyDescent="0.3">
      <c r="A1" s="1"/>
      <c r="B1" s="2"/>
      <c r="C1" s="3"/>
      <c r="D1" s="4"/>
      <c r="E1" s="5"/>
      <c r="F1" s="207" t="s">
        <v>0</v>
      </c>
      <c r="G1" s="207"/>
    </row>
    <row r="2" spans="1:7" ht="18.75" x14ac:dyDescent="0.3">
      <c r="A2" s="7" t="s">
        <v>1</v>
      </c>
      <c r="B2" s="7"/>
      <c r="C2" s="3"/>
      <c r="D2" s="4"/>
      <c r="E2" s="5"/>
      <c r="F2" s="5"/>
      <c r="G2" s="8"/>
    </row>
    <row r="3" spans="1:7" ht="15" x14ac:dyDescent="0.3">
      <c r="A3" s="1"/>
      <c r="B3" s="2"/>
      <c r="C3" s="3"/>
      <c r="D3" s="4"/>
      <c r="E3" s="5"/>
      <c r="F3" s="5"/>
      <c r="G3" s="8"/>
    </row>
    <row r="4" spans="1:7" ht="15" x14ac:dyDescent="0.3">
      <c r="A4" s="1"/>
      <c r="B4" s="2"/>
      <c r="C4" s="3"/>
      <c r="D4" s="4"/>
      <c r="E4" s="5"/>
      <c r="F4" s="5"/>
      <c r="G4" s="8"/>
    </row>
    <row r="5" spans="1:7" ht="18" x14ac:dyDescent="0.25">
      <c r="A5" s="208" t="s">
        <v>1999</v>
      </c>
      <c r="B5" s="208"/>
      <c r="C5" s="208"/>
      <c r="D5" s="208"/>
      <c r="E5" s="208"/>
      <c r="F5" s="208"/>
      <c r="G5" s="208"/>
    </row>
    <row r="6" spans="1:7" ht="15" x14ac:dyDescent="0.3">
      <c r="A6" s="1"/>
      <c r="B6" s="9"/>
      <c r="C6" s="9"/>
      <c r="D6" s="9"/>
      <c r="E6" s="9"/>
      <c r="F6" s="10"/>
      <c r="G6" s="11"/>
    </row>
    <row r="7" spans="1:7" x14ac:dyDescent="0.2">
      <c r="A7" s="12" t="s">
        <v>2</v>
      </c>
      <c r="B7" s="12" t="s">
        <v>3</v>
      </c>
      <c r="C7" s="13" t="s">
        <v>4</v>
      </c>
      <c r="D7" s="14" t="s">
        <v>5</v>
      </c>
      <c r="E7" s="13" t="s">
        <v>6</v>
      </c>
      <c r="F7" s="13" t="s">
        <v>7</v>
      </c>
      <c r="G7" s="13" t="s">
        <v>8</v>
      </c>
    </row>
    <row r="8" spans="1:7" ht="30" x14ac:dyDescent="0.3">
      <c r="A8" s="15">
        <v>1</v>
      </c>
      <c r="B8" s="16">
        <v>40891</v>
      </c>
      <c r="C8" s="33" t="s">
        <v>2000</v>
      </c>
      <c r="D8" s="18">
        <f>+B8+15</f>
        <v>40906</v>
      </c>
      <c r="E8" s="19" t="s">
        <v>17</v>
      </c>
      <c r="F8" s="19" t="s">
        <v>18</v>
      </c>
      <c r="G8" s="21">
        <v>211.69</v>
      </c>
    </row>
    <row r="9" spans="1:7" ht="30" x14ac:dyDescent="0.3">
      <c r="A9" s="15">
        <v>2</v>
      </c>
      <c r="B9" s="16">
        <v>40876</v>
      </c>
      <c r="C9" s="33" t="s">
        <v>2001</v>
      </c>
      <c r="D9" s="18">
        <f>+B9+15</f>
        <v>40891</v>
      </c>
      <c r="E9" s="19" t="s">
        <v>22</v>
      </c>
      <c r="F9" s="19" t="s">
        <v>21</v>
      </c>
      <c r="G9" s="21">
        <v>35.4</v>
      </c>
    </row>
    <row r="10" spans="1:7" ht="15" x14ac:dyDescent="0.2">
      <c r="A10" s="22"/>
      <c r="B10" s="22"/>
      <c r="C10" s="23"/>
      <c r="D10" s="24"/>
      <c r="E10" s="25"/>
      <c r="F10" s="26" t="s">
        <v>24</v>
      </c>
      <c r="G10" s="27">
        <f>SUM(G8:G9)</f>
        <v>247.09</v>
      </c>
    </row>
    <row r="14" spans="1:7" ht="15" x14ac:dyDescent="0.2">
      <c r="A14" s="22"/>
      <c r="B14" s="22"/>
      <c r="C14" s="23"/>
      <c r="D14" s="24"/>
      <c r="E14" s="25"/>
      <c r="F14" s="55"/>
      <c r="G14" s="68"/>
    </row>
    <row r="15" spans="1:7" ht="15" customHeight="1" x14ac:dyDescent="0.3">
      <c r="A15" s="29"/>
      <c r="B15" s="30"/>
      <c r="C15" s="37"/>
      <c r="D15" s="30"/>
      <c r="E15" s="5"/>
      <c r="F15" s="207" t="s">
        <v>0</v>
      </c>
      <c r="G15" s="207"/>
    </row>
    <row r="16" spans="1:7" ht="18.75" x14ac:dyDescent="0.3">
      <c r="A16" s="31" t="s">
        <v>1</v>
      </c>
      <c r="B16" s="29"/>
      <c r="C16" s="37"/>
      <c r="D16" s="30"/>
      <c r="E16" s="5"/>
      <c r="F16" s="29"/>
      <c r="G16" s="29"/>
    </row>
    <row r="17" spans="1:9" ht="15" x14ac:dyDescent="0.3">
      <c r="A17" s="29"/>
      <c r="B17" s="30"/>
      <c r="C17" s="37"/>
      <c r="D17" s="30"/>
      <c r="E17" s="5"/>
      <c r="F17" s="5"/>
      <c r="G17" s="32"/>
    </row>
    <row r="18" spans="1:9" ht="15" x14ac:dyDescent="0.3">
      <c r="A18" s="29"/>
      <c r="B18" s="30"/>
      <c r="C18" s="37"/>
      <c r="D18" s="30"/>
      <c r="E18" s="5"/>
      <c r="F18" s="5"/>
      <c r="G18" s="32"/>
    </row>
    <row r="19" spans="1:9" ht="18" x14ac:dyDescent="0.25">
      <c r="A19" s="208" t="s">
        <v>2002</v>
      </c>
      <c r="B19" s="208"/>
      <c r="C19" s="208"/>
      <c r="D19" s="208"/>
      <c r="E19" s="208"/>
      <c r="F19" s="208"/>
      <c r="G19" s="208"/>
    </row>
    <row r="20" spans="1:9" ht="15" x14ac:dyDescent="0.3">
      <c r="A20" s="29"/>
      <c r="B20" s="9"/>
      <c r="C20" s="9"/>
      <c r="D20" s="9"/>
      <c r="E20" s="9"/>
      <c r="F20" s="10"/>
      <c r="G20" s="11"/>
      <c r="H20" s="35"/>
      <c r="I20" s="35"/>
    </row>
    <row r="21" spans="1:9" x14ac:dyDescent="0.2">
      <c r="A21" s="12" t="s">
        <v>2</v>
      </c>
      <c r="B21" s="12" t="s">
        <v>3</v>
      </c>
      <c r="C21" s="13" t="s">
        <v>4</v>
      </c>
      <c r="D21" s="14" t="s">
        <v>25</v>
      </c>
      <c r="E21" s="13" t="s">
        <v>6</v>
      </c>
      <c r="F21" s="13" t="s">
        <v>7</v>
      </c>
      <c r="G21" s="13" t="s">
        <v>8</v>
      </c>
    </row>
    <row r="22" spans="1:9" ht="30" x14ac:dyDescent="0.3">
      <c r="A22" s="15">
        <v>1</v>
      </c>
      <c r="B22" s="16">
        <v>40882</v>
      </c>
      <c r="C22" s="33" t="s">
        <v>1730</v>
      </c>
      <c r="D22" s="18" t="s">
        <v>2003</v>
      </c>
      <c r="E22" s="19" t="s">
        <v>1922</v>
      </c>
      <c r="F22" s="19" t="s">
        <v>249</v>
      </c>
      <c r="G22" s="21">
        <v>960.88</v>
      </c>
      <c r="H22" t="s">
        <v>27</v>
      </c>
    </row>
    <row r="23" spans="1:9" ht="30" x14ac:dyDescent="0.3">
      <c r="A23" s="15">
        <v>2</v>
      </c>
      <c r="B23" s="16">
        <v>40909</v>
      </c>
      <c r="C23" s="33" t="s">
        <v>2004</v>
      </c>
      <c r="D23" s="18" t="s">
        <v>2005</v>
      </c>
      <c r="E23" s="19" t="s">
        <v>2006</v>
      </c>
      <c r="F23" s="19" t="s">
        <v>1449</v>
      </c>
      <c r="G23" s="21">
        <v>24049.73</v>
      </c>
      <c r="H23" t="s">
        <v>27</v>
      </c>
    </row>
    <row r="24" spans="1:9" ht="30" x14ac:dyDescent="0.3">
      <c r="A24" s="15">
        <v>3</v>
      </c>
      <c r="B24" s="16">
        <v>40907</v>
      </c>
      <c r="C24" s="33" t="s">
        <v>2007</v>
      </c>
      <c r="D24" s="18" t="s">
        <v>2008</v>
      </c>
      <c r="E24" s="19" t="s">
        <v>1918</v>
      </c>
      <c r="F24" s="19" t="s">
        <v>2009</v>
      </c>
      <c r="G24" s="21">
        <v>118</v>
      </c>
      <c r="H24" t="s">
        <v>27</v>
      </c>
    </row>
    <row r="25" spans="1:9" ht="30" x14ac:dyDescent="0.3">
      <c r="A25" s="15">
        <v>4</v>
      </c>
      <c r="B25" s="16">
        <v>40819</v>
      </c>
      <c r="C25" s="33" t="s">
        <v>2010</v>
      </c>
      <c r="D25" s="18" t="s">
        <v>2011</v>
      </c>
      <c r="E25" s="19" t="s">
        <v>2012</v>
      </c>
      <c r="F25" s="19" t="s">
        <v>2013</v>
      </c>
      <c r="G25" s="21">
        <f>637.2+12.74</f>
        <v>649.94000000000005</v>
      </c>
      <c r="H25" t="s">
        <v>27</v>
      </c>
    </row>
    <row r="26" spans="1:9" ht="75" x14ac:dyDescent="0.3">
      <c r="A26" s="15">
        <v>5</v>
      </c>
      <c r="B26" s="16">
        <v>40906</v>
      </c>
      <c r="C26" s="33" t="s">
        <v>2014</v>
      </c>
      <c r="D26" s="18" t="s">
        <v>2015</v>
      </c>
      <c r="E26" s="19" t="s">
        <v>2016</v>
      </c>
      <c r="F26" s="19" t="s">
        <v>2017</v>
      </c>
      <c r="G26" s="21">
        <f>50133.56-(50133.56*0.12)</f>
        <v>44117.532800000001</v>
      </c>
      <c r="H26" t="s">
        <v>27</v>
      </c>
    </row>
    <row r="27" spans="1:9" ht="15" x14ac:dyDescent="0.3">
      <c r="A27" s="29"/>
      <c r="B27" s="30"/>
      <c r="C27" s="37"/>
      <c r="D27" s="30"/>
      <c r="E27" s="5"/>
      <c r="F27" s="46" t="s">
        <v>24</v>
      </c>
      <c r="G27" s="103">
        <f>SUM(G22:G26)</f>
        <v>69896.082800000004</v>
      </c>
    </row>
    <row r="35" spans="1:7" x14ac:dyDescent="0.2">
      <c r="A35" s="216" t="s">
        <v>1807</v>
      </c>
      <c r="B35" s="216"/>
      <c r="C35" s="216"/>
      <c r="D35" s="216"/>
      <c r="E35" s="216"/>
      <c r="F35" s="216"/>
      <c r="G35" s="216"/>
    </row>
    <row r="36" spans="1:7" x14ac:dyDescent="0.2">
      <c r="A36" s="216"/>
      <c r="B36" s="216"/>
      <c r="C36" s="216"/>
      <c r="D36" s="216"/>
      <c r="E36" s="216"/>
      <c r="F36" s="216"/>
      <c r="G36" s="216"/>
    </row>
    <row r="37" spans="1:7" x14ac:dyDescent="0.2">
      <c r="A37" s="216"/>
      <c r="B37" s="216"/>
      <c r="C37" s="216"/>
      <c r="D37" s="216"/>
      <c r="E37" s="216"/>
      <c r="F37" s="216"/>
      <c r="G37" s="216"/>
    </row>
    <row r="41" spans="1:7" ht="12.75" customHeight="1" x14ac:dyDescent="0.2">
      <c r="F41" s="207" t="s">
        <v>0</v>
      </c>
      <c r="G41" s="207"/>
    </row>
    <row r="42" spans="1:7" ht="18.75" x14ac:dyDescent="0.3">
      <c r="A42" s="31" t="s">
        <v>1</v>
      </c>
      <c r="B42" s="29"/>
      <c r="C42" s="37"/>
      <c r="D42" s="30"/>
      <c r="E42" s="5"/>
      <c r="F42" s="29"/>
      <c r="G42" s="29"/>
    </row>
    <row r="43" spans="1:7" ht="15" x14ac:dyDescent="0.3">
      <c r="A43" s="29"/>
      <c r="B43" s="30"/>
      <c r="C43" s="37"/>
      <c r="D43" s="30"/>
      <c r="E43" s="5"/>
      <c r="F43" s="5"/>
      <c r="G43" s="32"/>
    </row>
    <row r="44" spans="1:7" ht="15" x14ac:dyDescent="0.3">
      <c r="A44" s="29"/>
      <c r="B44" s="30"/>
      <c r="C44" s="37"/>
      <c r="D44" s="30"/>
      <c r="E44" s="5"/>
      <c r="F44" s="5"/>
      <c r="G44" s="32"/>
    </row>
    <row r="45" spans="1:7" ht="18" x14ac:dyDescent="0.25">
      <c r="A45" s="208" t="s">
        <v>2018</v>
      </c>
      <c r="B45" s="208"/>
      <c r="C45" s="208"/>
      <c r="D45" s="208"/>
      <c r="E45" s="208"/>
      <c r="F45" s="208"/>
      <c r="G45" s="208"/>
    </row>
    <row r="46" spans="1:7" ht="15" x14ac:dyDescent="0.3">
      <c r="A46" s="29"/>
      <c r="B46" s="9"/>
      <c r="C46" s="9"/>
      <c r="D46" s="9"/>
      <c r="E46" s="9"/>
      <c r="F46" s="10"/>
      <c r="G46" s="11"/>
    </row>
    <row r="47" spans="1:7" x14ac:dyDescent="0.2">
      <c r="A47" s="12" t="s">
        <v>2</v>
      </c>
      <c r="B47" s="12" t="s">
        <v>3</v>
      </c>
      <c r="C47" s="13" t="s">
        <v>4</v>
      </c>
      <c r="D47" s="14" t="s">
        <v>25</v>
      </c>
      <c r="E47" s="13" t="s">
        <v>6</v>
      </c>
      <c r="F47" s="13" t="s">
        <v>7</v>
      </c>
      <c r="G47" s="13" t="s">
        <v>8</v>
      </c>
    </row>
    <row r="48" spans="1:7" ht="15" x14ac:dyDescent="0.3">
      <c r="A48" s="15"/>
      <c r="B48" s="16"/>
      <c r="C48" s="33"/>
      <c r="D48" s="18"/>
      <c r="E48" s="19"/>
      <c r="F48" s="19"/>
      <c r="G48" s="21"/>
    </row>
    <row r="49" spans="1:7" ht="15" x14ac:dyDescent="0.3">
      <c r="A49" s="29"/>
      <c r="B49" s="30"/>
      <c r="C49" s="37"/>
      <c r="D49" s="30"/>
      <c r="E49" s="5"/>
      <c r="F49" s="46" t="s">
        <v>24</v>
      </c>
      <c r="G49" s="103">
        <f>SUM(G48:G48)</f>
        <v>0</v>
      </c>
    </row>
  </sheetData>
  <sheetProtection selectLockedCells="1" selectUnlockedCells="1"/>
  <mergeCells count="7">
    <mergeCell ref="A45:G45"/>
    <mergeCell ref="F1:G1"/>
    <mergeCell ref="A5:G5"/>
    <mergeCell ref="F15:G15"/>
    <mergeCell ref="A19:G19"/>
    <mergeCell ref="A35:G37"/>
    <mergeCell ref="F41:G41"/>
  </mergeCells>
  <printOptions horizontalCentered="1"/>
  <pageMargins left="0" right="0" top="0.74791666666666667" bottom="0.74791666666666667" header="0.51180555555555551" footer="0.51180555555555551"/>
  <pageSetup paperSize="9" scale="85" firstPageNumber="0" orientation="portrait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7"/>
  <dimension ref="A1:I99"/>
  <sheetViews>
    <sheetView workbookViewId="0">
      <selection activeCell="C12" sqref="C12"/>
    </sheetView>
  </sheetViews>
  <sheetFormatPr baseColWidth="10" defaultColWidth="10.7109375" defaultRowHeight="12.75" x14ac:dyDescent="0.2"/>
  <cols>
    <col min="1" max="1" width="4" customWidth="1"/>
    <col min="2" max="2" width="12.85546875" customWidth="1"/>
    <col min="4" max="4" width="14" customWidth="1"/>
    <col min="5" max="5" width="19.7109375" customWidth="1"/>
    <col min="6" max="6" width="36.140625" customWidth="1"/>
    <col min="7" max="7" width="15.28515625" customWidth="1"/>
    <col min="8" max="8" width="13" customWidth="1"/>
  </cols>
  <sheetData>
    <row r="1" spans="1:7" ht="15" customHeight="1" x14ac:dyDescent="0.3">
      <c r="A1" s="1"/>
      <c r="B1" s="2"/>
      <c r="C1" s="3"/>
      <c r="D1" s="4"/>
      <c r="E1" s="5"/>
      <c r="F1" s="207" t="s">
        <v>0</v>
      </c>
      <c r="G1" s="207"/>
    </row>
    <row r="2" spans="1:7" ht="18.75" x14ac:dyDescent="0.3">
      <c r="A2" s="7" t="s">
        <v>1</v>
      </c>
      <c r="B2" s="7"/>
      <c r="C2" s="3"/>
      <c r="D2" s="4"/>
      <c r="E2" s="5"/>
      <c r="F2" s="5"/>
      <c r="G2" s="8"/>
    </row>
    <row r="3" spans="1:7" ht="15" x14ac:dyDescent="0.3">
      <c r="A3" s="1"/>
      <c r="B3" s="2"/>
      <c r="C3" s="3"/>
      <c r="D3" s="4"/>
      <c r="E3" s="5"/>
      <c r="F3" s="5"/>
      <c r="G3" s="8"/>
    </row>
    <row r="4" spans="1:7" ht="15" x14ac:dyDescent="0.3">
      <c r="A4" s="1"/>
      <c r="B4" s="2"/>
      <c r="C4" s="3"/>
      <c r="D4" s="4"/>
      <c r="E4" s="5"/>
      <c r="F4" s="5"/>
      <c r="G4" s="8"/>
    </row>
    <row r="5" spans="1:7" ht="18" x14ac:dyDescent="0.25">
      <c r="A5" s="208" t="s">
        <v>2019</v>
      </c>
      <c r="B5" s="208"/>
      <c r="C5" s="208"/>
      <c r="D5" s="208"/>
      <c r="E5" s="208"/>
      <c r="F5" s="208"/>
      <c r="G5" s="208"/>
    </row>
    <row r="6" spans="1:7" ht="15" x14ac:dyDescent="0.3">
      <c r="A6" s="1"/>
      <c r="B6" s="9"/>
      <c r="C6" s="9"/>
      <c r="D6" s="9"/>
      <c r="E6" s="9"/>
      <c r="F6" s="10"/>
      <c r="G6" s="11"/>
    </row>
    <row r="7" spans="1:7" x14ac:dyDescent="0.2">
      <c r="A7" s="12" t="s">
        <v>2</v>
      </c>
      <c r="B7" s="12" t="s">
        <v>3</v>
      </c>
      <c r="C7" s="13" t="s">
        <v>4</v>
      </c>
      <c r="D7" s="14" t="s">
        <v>5</v>
      </c>
      <c r="E7" s="13" t="s">
        <v>6</v>
      </c>
      <c r="F7" s="13" t="s">
        <v>7</v>
      </c>
      <c r="G7" s="13" t="s">
        <v>32</v>
      </c>
    </row>
    <row r="8" spans="1:7" ht="30" x14ac:dyDescent="0.3">
      <c r="A8" s="15">
        <v>1</v>
      </c>
      <c r="B8" s="16">
        <v>40912</v>
      </c>
      <c r="C8" s="33" t="s">
        <v>2020</v>
      </c>
      <c r="D8" s="18">
        <f t="shared" ref="D8:D16" si="0">+B8+30</f>
        <v>40942</v>
      </c>
      <c r="E8" s="19" t="s">
        <v>44</v>
      </c>
      <c r="F8" s="19" t="s">
        <v>2021</v>
      </c>
      <c r="G8" s="21">
        <v>50.98</v>
      </c>
    </row>
    <row r="9" spans="1:7" ht="30" x14ac:dyDescent="0.3">
      <c r="A9" s="15">
        <v>2</v>
      </c>
      <c r="B9" s="16">
        <v>40912</v>
      </c>
      <c r="C9" s="33" t="s">
        <v>2022</v>
      </c>
      <c r="D9" s="18">
        <f t="shared" si="0"/>
        <v>40942</v>
      </c>
      <c r="E9" s="19" t="s">
        <v>44</v>
      </c>
      <c r="F9" s="19" t="s">
        <v>2021</v>
      </c>
      <c r="G9" s="21">
        <v>254.88</v>
      </c>
    </row>
    <row r="10" spans="1:7" ht="30" x14ac:dyDescent="0.3">
      <c r="A10" s="15">
        <v>3</v>
      </c>
      <c r="B10" s="16">
        <v>40913</v>
      </c>
      <c r="C10" s="33" t="s">
        <v>2023</v>
      </c>
      <c r="D10" s="18">
        <f t="shared" si="0"/>
        <v>40943</v>
      </c>
      <c r="E10" s="19" t="s">
        <v>44</v>
      </c>
      <c r="F10" s="19" t="s">
        <v>2024</v>
      </c>
      <c r="G10" s="21">
        <v>241.69</v>
      </c>
    </row>
    <row r="11" spans="1:7" ht="30" x14ac:dyDescent="0.3">
      <c r="A11" s="15">
        <v>4</v>
      </c>
      <c r="B11" s="16">
        <v>40913</v>
      </c>
      <c r="C11" s="33" t="s">
        <v>2025</v>
      </c>
      <c r="D11" s="18">
        <f t="shared" si="0"/>
        <v>40943</v>
      </c>
      <c r="E11" s="19" t="s">
        <v>44</v>
      </c>
      <c r="F11" s="19" t="s">
        <v>2024</v>
      </c>
      <c r="G11" s="21">
        <v>189.9</v>
      </c>
    </row>
    <row r="12" spans="1:7" ht="30" x14ac:dyDescent="0.3">
      <c r="A12" s="15">
        <v>5</v>
      </c>
      <c r="B12" s="16">
        <v>40913</v>
      </c>
      <c r="C12" s="33" t="s">
        <v>2026</v>
      </c>
      <c r="D12" s="18">
        <f t="shared" si="0"/>
        <v>40943</v>
      </c>
      <c r="E12" s="19" t="s">
        <v>44</v>
      </c>
      <c r="F12" s="19" t="s">
        <v>2024</v>
      </c>
      <c r="G12" s="21">
        <v>414.32</v>
      </c>
    </row>
    <row r="13" spans="1:7" ht="45" x14ac:dyDescent="0.3">
      <c r="A13" s="15">
        <v>6</v>
      </c>
      <c r="B13" s="16">
        <v>40911</v>
      </c>
      <c r="C13" s="33" t="s">
        <v>2027</v>
      </c>
      <c r="D13" s="18">
        <f t="shared" si="0"/>
        <v>40941</v>
      </c>
      <c r="E13" s="19" t="s">
        <v>1458</v>
      </c>
      <c r="F13" s="19" t="s">
        <v>2028</v>
      </c>
      <c r="G13" s="21">
        <v>141.6</v>
      </c>
    </row>
    <row r="14" spans="1:7" ht="45" x14ac:dyDescent="0.3">
      <c r="A14" s="15">
        <v>7</v>
      </c>
      <c r="B14" s="16">
        <v>40911</v>
      </c>
      <c r="C14" s="33" t="s">
        <v>2029</v>
      </c>
      <c r="D14" s="18">
        <f t="shared" si="0"/>
        <v>40941</v>
      </c>
      <c r="E14" s="19" t="s">
        <v>1458</v>
      </c>
      <c r="F14" s="19" t="s">
        <v>2030</v>
      </c>
      <c r="G14" s="21">
        <v>12.64</v>
      </c>
    </row>
    <row r="15" spans="1:7" ht="45" x14ac:dyDescent="0.3">
      <c r="A15" s="15">
        <v>8</v>
      </c>
      <c r="B15" s="16">
        <v>40911</v>
      </c>
      <c r="C15" s="33" t="s">
        <v>2031</v>
      </c>
      <c r="D15" s="18">
        <f t="shared" si="0"/>
        <v>40941</v>
      </c>
      <c r="E15" s="19" t="s">
        <v>1458</v>
      </c>
      <c r="F15" s="19" t="s">
        <v>2030</v>
      </c>
      <c r="G15" s="21">
        <v>26.34</v>
      </c>
    </row>
    <row r="16" spans="1:7" ht="45" x14ac:dyDescent="0.3">
      <c r="A16" s="15">
        <v>9</v>
      </c>
      <c r="B16" s="16">
        <v>40913</v>
      </c>
      <c r="C16" s="33" t="s">
        <v>2032</v>
      </c>
      <c r="D16" s="18">
        <f t="shared" si="0"/>
        <v>40943</v>
      </c>
      <c r="E16" s="19" t="s">
        <v>1458</v>
      </c>
      <c r="F16" s="19" t="s">
        <v>2033</v>
      </c>
      <c r="G16" s="21">
        <v>70.8</v>
      </c>
    </row>
    <row r="17" spans="1:7" ht="26.25" x14ac:dyDescent="0.3">
      <c r="A17" s="15">
        <v>10</v>
      </c>
      <c r="B17" s="16">
        <v>40925</v>
      </c>
      <c r="C17" s="33" t="s">
        <v>2034</v>
      </c>
      <c r="D17" s="18">
        <f>+B17+15</f>
        <v>40940</v>
      </c>
      <c r="E17" s="19" t="s">
        <v>55</v>
      </c>
      <c r="F17" s="19" t="s">
        <v>2035</v>
      </c>
      <c r="G17" s="21">
        <v>1598.85</v>
      </c>
    </row>
    <row r="18" spans="1:7" ht="45" x14ac:dyDescent="0.3">
      <c r="A18" s="15">
        <v>11</v>
      </c>
      <c r="B18" s="16">
        <v>40909</v>
      </c>
      <c r="C18" s="33" t="s">
        <v>2036</v>
      </c>
      <c r="D18" s="18">
        <v>40939</v>
      </c>
      <c r="E18" s="19" t="s">
        <v>1553</v>
      </c>
      <c r="F18" s="19" t="s">
        <v>2037</v>
      </c>
      <c r="G18" s="21">
        <v>106.2</v>
      </c>
    </row>
    <row r="19" spans="1:7" ht="30" x14ac:dyDescent="0.3">
      <c r="A19" s="15">
        <v>12</v>
      </c>
      <c r="B19" s="16">
        <v>40926</v>
      </c>
      <c r="C19" s="33" t="s">
        <v>2038</v>
      </c>
      <c r="D19" s="18">
        <f>+B19+15</f>
        <v>40941</v>
      </c>
      <c r="E19" s="19" t="s">
        <v>787</v>
      </c>
      <c r="F19" s="19" t="s">
        <v>2039</v>
      </c>
      <c r="G19" s="21">
        <v>127.5</v>
      </c>
    </row>
    <row r="20" spans="1:7" ht="30" x14ac:dyDescent="0.3">
      <c r="A20" s="15">
        <v>13</v>
      </c>
      <c r="B20" s="16">
        <v>40927</v>
      </c>
      <c r="C20" s="33" t="s">
        <v>2040</v>
      </c>
      <c r="D20" s="18">
        <f>+B20</f>
        <v>40927</v>
      </c>
      <c r="E20" s="19" t="s">
        <v>219</v>
      </c>
      <c r="F20" s="19" t="s">
        <v>1759</v>
      </c>
      <c r="G20" s="21">
        <v>708</v>
      </c>
    </row>
    <row r="21" spans="1:7" ht="30" x14ac:dyDescent="0.3">
      <c r="A21" s="15">
        <v>14</v>
      </c>
      <c r="B21" s="16">
        <v>40927</v>
      </c>
      <c r="C21" s="33" t="s">
        <v>2041</v>
      </c>
      <c r="D21" s="18">
        <f>+B21</f>
        <v>40927</v>
      </c>
      <c r="E21" s="19" t="s">
        <v>219</v>
      </c>
      <c r="F21" s="19" t="s">
        <v>2042</v>
      </c>
      <c r="G21" s="21">
        <v>3964.8</v>
      </c>
    </row>
    <row r="22" spans="1:7" ht="15" x14ac:dyDescent="0.2">
      <c r="A22" s="22"/>
      <c r="B22" s="22"/>
      <c r="C22" s="23"/>
      <c r="D22" s="24"/>
      <c r="E22" s="25"/>
      <c r="F22" s="26" t="s">
        <v>24</v>
      </c>
      <c r="G22" s="36">
        <f>SUM(G8:G21)</f>
        <v>7908.5</v>
      </c>
    </row>
    <row r="23" spans="1:7" x14ac:dyDescent="0.2">
      <c r="B23" s="35"/>
      <c r="D23" s="35"/>
    </row>
    <row r="26" spans="1:7" ht="12.75" customHeight="1" x14ac:dyDescent="0.2">
      <c r="F26" s="207" t="s">
        <v>0</v>
      </c>
      <c r="G26" s="207"/>
    </row>
    <row r="27" spans="1:7" ht="18.75" x14ac:dyDescent="0.3">
      <c r="A27" s="31" t="s">
        <v>1</v>
      </c>
      <c r="B27" s="29"/>
      <c r="C27" s="37"/>
      <c r="D27" s="30"/>
      <c r="E27" s="5"/>
      <c r="F27" s="29"/>
      <c r="G27" s="29"/>
    </row>
    <row r="28" spans="1:7" ht="15" x14ac:dyDescent="0.3">
      <c r="A28" s="29"/>
      <c r="B28" s="30"/>
      <c r="C28" s="37"/>
      <c r="D28" s="30"/>
      <c r="E28" s="5"/>
      <c r="F28" s="5"/>
      <c r="G28" s="32"/>
    </row>
    <row r="29" spans="1:7" ht="15" x14ac:dyDescent="0.3">
      <c r="A29" s="29"/>
      <c r="B29" s="30"/>
      <c r="C29" s="37"/>
      <c r="D29" s="30"/>
      <c r="E29" s="5"/>
      <c r="F29" s="5"/>
      <c r="G29" s="32"/>
    </row>
    <row r="30" spans="1:7" ht="18" x14ac:dyDescent="0.25">
      <c r="A30" s="208" t="s">
        <v>2043</v>
      </c>
      <c r="B30" s="208"/>
      <c r="C30" s="208"/>
      <c r="D30" s="208"/>
      <c r="E30" s="208"/>
      <c r="F30" s="208"/>
      <c r="G30" s="208"/>
    </row>
    <row r="31" spans="1:7" ht="15" x14ac:dyDescent="0.3">
      <c r="A31" s="29"/>
      <c r="B31" s="9"/>
      <c r="C31" s="9"/>
      <c r="D31" s="9"/>
      <c r="E31" s="9"/>
      <c r="F31" s="10"/>
      <c r="G31" s="11"/>
    </row>
    <row r="32" spans="1:7" x14ac:dyDescent="0.2">
      <c r="A32" s="12" t="s">
        <v>2</v>
      </c>
      <c r="B32" s="12" t="s">
        <v>3</v>
      </c>
      <c r="C32" s="13" t="s">
        <v>4</v>
      </c>
      <c r="D32" s="14" t="s">
        <v>25</v>
      </c>
      <c r="E32" s="13" t="s">
        <v>6</v>
      </c>
      <c r="F32" s="13" t="s">
        <v>7</v>
      </c>
      <c r="G32" s="13" t="s">
        <v>32</v>
      </c>
    </row>
    <row r="33" spans="1:9" ht="30" customHeight="1" x14ac:dyDescent="0.3">
      <c r="A33" s="15">
        <v>1</v>
      </c>
      <c r="B33" s="16">
        <v>40930</v>
      </c>
      <c r="C33" s="33" t="s">
        <v>2044</v>
      </c>
      <c r="D33" s="18" t="s">
        <v>2045</v>
      </c>
      <c r="E33" s="19" t="s">
        <v>1631</v>
      </c>
      <c r="F33" s="19" t="s">
        <v>2046</v>
      </c>
      <c r="G33" s="21">
        <f>123.7+585+198.7+233.9</f>
        <v>1141.3000000000002</v>
      </c>
      <c r="H33" t="s">
        <v>27</v>
      </c>
    </row>
    <row r="34" spans="1:9" ht="30" customHeight="1" x14ac:dyDescent="0.3">
      <c r="A34" s="15">
        <v>2</v>
      </c>
      <c r="B34" s="16">
        <v>40933</v>
      </c>
      <c r="C34" s="33" t="s">
        <v>2047</v>
      </c>
      <c r="D34" s="18" t="s">
        <v>2048</v>
      </c>
      <c r="E34" s="19" t="s">
        <v>1631</v>
      </c>
      <c r="F34" s="19" t="s">
        <v>2049</v>
      </c>
      <c r="G34" s="21">
        <f>7046.27+786.63</f>
        <v>7832.9000000000005</v>
      </c>
      <c r="H34" t="s">
        <v>27</v>
      </c>
    </row>
    <row r="35" spans="1:9" ht="30" customHeight="1" x14ac:dyDescent="0.3">
      <c r="A35" s="15">
        <v>3</v>
      </c>
      <c r="B35" s="16">
        <v>40943</v>
      </c>
      <c r="C35" s="33" t="s">
        <v>2050</v>
      </c>
      <c r="D35" s="18" t="s">
        <v>2051</v>
      </c>
      <c r="E35" s="19" t="s">
        <v>137</v>
      </c>
      <c r="F35" s="19" t="s">
        <v>2052</v>
      </c>
      <c r="G35" s="21">
        <v>66.08</v>
      </c>
      <c r="H35" t="s">
        <v>27</v>
      </c>
    </row>
    <row r="36" spans="1:9" ht="30" customHeight="1" x14ac:dyDescent="0.3">
      <c r="A36" s="15">
        <v>4</v>
      </c>
      <c r="B36" s="16">
        <v>40942</v>
      </c>
      <c r="C36" s="33" t="s">
        <v>2053</v>
      </c>
      <c r="D36" s="18" t="s">
        <v>2054</v>
      </c>
      <c r="E36" s="19" t="s">
        <v>1990</v>
      </c>
      <c r="F36" s="19" t="s">
        <v>2055</v>
      </c>
      <c r="G36" s="21">
        <v>90.4</v>
      </c>
      <c r="H36" t="s">
        <v>27</v>
      </c>
    </row>
    <row r="37" spans="1:9" ht="30" x14ac:dyDescent="0.3">
      <c r="A37" s="15">
        <v>5</v>
      </c>
      <c r="B37" s="16">
        <v>40931</v>
      </c>
      <c r="C37" s="33" t="s">
        <v>1406</v>
      </c>
      <c r="D37" s="18" t="s">
        <v>2056</v>
      </c>
      <c r="E37" s="19" t="s">
        <v>1588</v>
      </c>
      <c r="F37" s="19" t="s">
        <v>2057</v>
      </c>
      <c r="G37" s="21">
        <v>279.01400000000001</v>
      </c>
      <c r="H37" t="s">
        <v>27</v>
      </c>
      <c r="I37" t="s">
        <v>2058</v>
      </c>
    </row>
    <row r="38" spans="1:9" ht="45" x14ac:dyDescent="0.3">
      <c r="A38" s="15">
        <v>6</v>
      </c>
      <c r="B38" s="16">
        <v>40934</v>
      </c>
      <c r="C38" s="33" t="s">
        <v>1406</v>
      </c>
      <c r="D38" s="18" t="s">
        <v>2059</v>
      </c>
      <c r="E38" s="19" t="s">
        <v>260</v>
      </c>
      <c r="F38" s="19" t="s">
        <v>2060</v>
      </c>
      <c r="G38" s="21">
        <v>2960.4</v>
      </c>
      <c r="H38" t="s">
        <v>27</v>
      </c>
    </row>
    <row r="39" spans="1:9" ht="30" x14ac:dyDescent="0.3">
      <c r="A39" s="15">
        <v>7</v>
      </c>
      <c r="B39" s="16">
        <v>40931</v>
      </c>
      <c r="C39" s="33" t="s">
        <v>2061</v>
      </c>
      <c r="D39" s="18" t="s">
        <v>2062</v>
      </c>
      <c r="E39" s="19" t="s">
        <v>2063</v>
      </c>
      <c r="F39" s="19" t="s">
        <v>614</v>
      </c>
      <c r="G39" s="21">
        <v>4248</v>
      </c>
      <c r="H39" t="s">
        <v>27</v>
      </c>
    </row>
    <row r="40" spans="1:9" ht="45" x14ac:dyDescent="0.3">
      <c r="A40" s="15">
        <v>8</v>
      </c>
      <c r="B40" s="16">
        <v>40931</v>
      </c>
      <c r="C40" s="33" t="s">
        <v>2064</v>
      </c>
      <c r="D40" s="18" t="s">
        <v>2065</v>
      </c>
      <c r="E40" s="19" t="s">
        <v>2066</v>
      </c>
      <c r="F40" s="19" t="s">
        <v>242</v>
      </c>
      <c r="G40" s="21">
        <v>2430</v>
      </c>
      <c r="H40" t="s">
        <v>27</v>
      </c>
    </row>
    <row r="41" spans="1:9" ht="45" x14ac:dyDescent="0.3">
      <c r="A41" s="15">
        <v>9</v>
      </c>
      <c r="B41" s="16">
        <v>40935</v>
      </c>
      <c r="C41" s="33" t="s">
        <v>1406</v>
      </c>
      <c r="D41" s="18" t="s">
        <v>2067</v>
      </c>
      <c r="E41" s="19" t="s">
        <v>260</v>
      </c>
      <c r="F41" s="19" t="s">
        <v>2068</v>
      </c>
      <c r="G41" s="21">
        <f>1129.5-1129.5</f>
        <v>0</v>
      </c>
      <c r="H41" s="45" t="s">
        <v>126</v>
      </c>
      <c r="I41" t="s">
        <v>1983</v>
      </c>
    </row>
    <row r="42" spans="1:9" ht="60" x14ac:dyDescent="0.3">
      <c r="A42" s="15">
        <v>10</v>
      </c>
      <c r="B42" s="16">
        <v>40920</v>
      </c>
      <c r="C42" s="33" t="s">
        <v>2069</v>
      </c>
      <c r="D42" s="18" t="s">
        <v>2070</v>
      </c>
      <c r="E42" s="19" t="s">
        <v>2071</v>
      </c>
      <c r="F42" s="19" t="s">
        <v>2072</v>
      </c>
      <c r="G42" s="21">
        <f>1003-1003</f>
        <v>0</v>
      </c>
      <c r="H42" s="45" t="s">
        <v>126</v>
      </c>
      <c r="I42" t="s">
        <v>1983</v>
      </c>
    </row>
    <row r="43" spans="1:9" ht="45" x14ac:dyDescent="0.3">
      <c r="A43" s="15">
        <v>11</v>
      </c>
      <c r="B43" s="16">
        <v>40935</v>
      </c>
      <c r="C43" s="33" t="s">
        <v>2073</v>
      </c>
      <c r="D43" s="18" t="s">
        <v>2074</v>
      </c>
      <c r="E43" s="19" t="s">
        <v>1171</v>
      </c>
      <c r="F43" s="19" t="s">
        <v>2075</v>
      </c>
      <c r="G43" s="21">
        <f>395.05-395.05</f>
        <v>0</v>
      </c>
      <c r="H43" s="45" t="s">
        <v>126</v>
      </c>
      <c r="I43" t="s">
        <v>1983</v>
      </c>
    </row>
    <row r="44" spans="1:9" ht="30" x14ac:dyDescent="0.3">
      <c r="A44" s="15">
        <v>12</v>
      </c>
      <c r="B44" s="16">
        <v>40939</v>
      </c>
      <c r="C44" s="33" t="s">
        <v>1406</v>
      </c>
      <c r="D44" s="18" t="s">
        <v>2076</v>
      </c>
      <c r="E44" s="19" t="s">
        <v>1588</v>
      </c>
      <c r="F44" s="19" t="s">
        <v>2077</v>
      </c>
      <c r="G44" s="21">
        <f>301.29-301.29</f>
        <v>0</v>
      </c>
      <c r="H44" s="45" t="s">
        <v>126</v>
      </c>
      <c r="I44" t="s">
        <v>2078</v>
      </c>
    </row>
    <row r="45" spans="1:9" ht="45" x14ac:dyDescent="0.3">
      <c r="A45" s="15"/>
      <c r="B45" s="16">
        <v>40941</v>
      </c>
      <c r="C45" s="33" t="s">
        <v>1406</v>
      </c>
      <c r="D45" s="18" t="s">
        <v>2079</v>
      </c>
      <c r="E45" s="19" t="s">
        <v>1408</v>
      </c>
      <c r="F45" s="19" t="s">
        <v>2080</v>
      </c>
      <c r="G45" s="21">
        <v>11846.68</v>
      </c>
      <c r="H45" s="45" t="s">
        <v>27</v>
      </c>
    </row>
    <row r="46" spans="1:9" ht="45" x14ac:dyDescent="0.3">
      <c r="A46" s="15"/>
      <c r="B46" s="16">
        <v>40941</v>
      </c>
      <c r="C46" s="33" t="s">
        <v>1406</v>
      </c>
      <c r="D46" s="18" t="s">
        <v>2081</v>
      </c>
      <c r="E46" s="19" t="s">
        <v>1408</v>
      </c>
      <c r="F46" s="19" t="s">
        <v>2082</v>
      </c>
      <c r="G46" s="21">
        <v>2420.6999999999998</v>
      </c>
      <c r="H46" s="45" t="s">
        <v>27</v>
      </c>
    </row>
    <row r="47" spans="1:9" ht="45" x14ac:dyDescent="0.3">
      <c r="A47" s="15"/>
      <c r="B47" s="16">
        <v>40941</v>
      </c>
      <c r="C47" s="33" t="s">
        <v>1406</v>
      </c>
      <c r="D47" s="18" t="s">
        <v>2083</v>
      </c>
      <c r="E47" s="19" t="s">
        <v>1408</v>
      </c>
      <c r="F47" s="19" t="s">
        <v>2084</v>
      </c>
      <c r="G47" s="21">
        <v>1129.08</v>
      </c>
      <c r="H47" s="45" t="s">
        <v>27</v>
      </c>
    </row>
    <row r="48" spans="1:9" ht="30" x14ac:dyDescent="0.3">
      <c r="A48" s="15"/>
      <c r="B48" s="16">
        <v>40946</v>
      </c>
      <c r="C48" s="33" t="s">
        <v>2085</v>
      </c>
      <c r="D48" s="18" t="s">
        <v>2086</v>
      </c>
      <c r="E48" s="19" t="s">
        <v>131</v>
      </c>
      <c r="F48" s="19" t="s">
        <v>2087</v>
      </c>
      <c r="G48" s="21">
        <f>725-725</f>
        <v>0</v>
      </c>
      <c r="H48" s="45" t="s">
        <v>126</v>
      </c>
    </row>
    <row r="49" spans="1:9" ht="15" x14ac:dyDescent="0.3">
      <c r="A49" s="29"/>
      <c r="B49" s="30"/>
      <c r="C49" s="37"/>
      <c r="D49" s="30"/>
      <c r="E49" s="5"/>
      <c r="F49" s="46" t="s">
        <v>24</v>
      </c>
      <c r="G49" s="36">
        <f>SUM(G33:G48)</f>
        <v>34444.553999999996</v>
      </c>
    </row>
    <row r="52" spans="1:9" ht="12.75" customHeight="1" x14ac:dyDescent="0.2">
      <c r="F52" s="207" t="s">
        <v>0</v>
      </c>
      <c r="G52" s="207"/>
    </row>
    <row r="53" spans="1:9" ht="18.75" x14ac:dyDescent="0.3">
      <c r="A53" s="31" t="s">
        <v>1</v>
      </c>
      <c r="B53" s="29"/>
      <c r="C53" s="37"/>
      <c r="D53" s="30"/>
      <c r="E53" s="5"/>
      <c r="F53" s="29"/>
      <c r="G53" s="29"/>
    </row>
    <row r="54" spans="1:9" ht="15" x14ac:dyDescent="0.3">
      <c r="A54" s="29"/>
      <c r="B54" s="30"/>
      <c r="C54" s="37"/>
      <c r="D54" s="30"/>
      <c r="E54" s="5"/>
      <c r="F54" s="5"/>
      <c r="G54" s="32"/>
    </row>
    <row r="55" spans="1:9" ht="15" x14ac:dyDescent="0.3">
      <c r="A55" s="29"/>
      <c r="B55" s="30"/>
      <c r="C55" s="37"/>
      <c r="D55" s="30"/>
      <c r="E55" s="5"/>
      <c r="F55" s="5"/>
      <c r="G55" s="32"/>
    </row>
    <row r="56" spans="1:9" ht="18" x14ac:dyDescent="0.25">
      <c r="A56" s="208" t="s">
        <v>2043</v>
      </c>
      <c r="B56" s="208"/>
      <c r="C56" s="208"/>
      <c r="D56" s="208"/>
      <c r="E56" s="208"/>
      <c r="F56" s="208"/>
      <c r="G56" s="208"/>
    </row>
    <row r="57" spans="1:9" ht="18" x14ac:dyDescent="0.25">
      <c r="A57" s="208" t="s">
        <v>157</v>
      </c>
      <c r="B57" s="208"/>
      <c r="C57" s="208"/>
      <c r="D57" s="208"/>
      <c r="E57" s="208"/>
      <c r="F57" s="208"/>
      <c r="G57" s="208"/>
    </row>
    <row r="58" spans="1:9" ht="15" x14ac:dyDescent="0.3">
      <c r="A58" s="29"/>
      <c r="B58" s="9"/>
      <c r="C58" s="9"/>
      <c r="D58" s="9"/>
      <c r="E58" s="9"/>
      <c r="F58" s="10"/>
      <c r="G58" s="11"/>
    </row>
    <row r="59" spans="1:9" x14ac:dyDescent="0.2">
      <c r="A59" s="12" t="s">
        <v>2</v>
      </c>
      <c r="B59" s="12" t="s">
        <v>3</v>
      </c>
      <c r="C59" s="13" t="s">
        <v>4</v>
      </c>
      <c r="D59" s="14" t="s">
        <v>25</v>
      </c>
      <c r="E59" s="13" t="s">
        <v>6</v>
      </c>
      <c r="F59" s="13" t="s">
        <v>7</v>
      </c>
      <c r="G59" s="13" t="s">
        <v>32</v>
      </c>
      <c r="H59" s="13" t="s">
        <v>8</v>
      </c>
    </row>
    <row r="60" spans="1:9" ht="45" x14ac:dyDescent="0.3">
      <c r="A60" s="15">
        <v>1</v>
      </c>
      <c r="B60" s="16">
        <v>40938</v>
      </c>
      <c r="C60" s="33" t="s">
        <v>1406</v>
      </c>
      <c r="D60" s="18" t="s">
        <v>2088</v>
      </c>
      <c r="E60" s="19" t="s">
        <v>2089</v>
      </c>
      <c r="F60" s="19" t="s">
        <v>2090</v>
      </c>
      <c r="G60" s="21">
        <v>0</v>
      </c>
      <c r="H60" s="21">
        <v>1076.3</v>
      </c>
      <c r="I60" t="s">
        <v>27</v>
      </c>
    </row>
    <row r="61" spans="1:9" ht="45" x14ac:dyDescent="0.3">
      <c r="A61" s="15">
        <v>2</v>
      </c>
      <c r="B61" s="16">
        <v>40938</v>
      </c>
      <c r="C61" s="33" t="s">
        <v>1406</v>
      </c>
      <c r="D61" s="18" t="s">
        <v>2091</v>
      </c>
      <c r="E61" s="19" t="s">
        <v>2089</v>
      </c>
      <c r="F61" s="19" t="s">
        <v>2092</v>
      </c>
      <c r="G61" s="21">
        <v>177</v>
      </c>
      <c r="H61" s="21">
        <v>0</v>
      </c>
      <c r="I61" t="s">
        <v>27</v>
      </c>
    </row>
    <row r="62" spans="1:9" ht="15" x14ac:dyDescent="0.3">
      <c r="A62" s="29"/>
      <c r="B62" s="30"/>
      <c r="C62" s="37"/>
      <c r="D62" s="30"/>
      <c r="E62" s="5"/>
      <c r="F62" s="46" t="s">
        <v>24</v>
      </c>
      <c r="G62" s="36">
        <f>SUM(G60:G61)</f>
        <v>177</v>
      </c>
      <c r="H62" s="27">
        <f>SUM(H60:H61)</f>
        <v>1076.3</v>
      </c>
    </row>
    <row r="65" spans="1:7" x14ac:dyDescent="0.2">
      <c r="A65" s="216" t="s">
        <v>1807</v>
      </c>
      <c r="B65" s="216"/>
      <c r="C65" s="216"/>
      <c r="D65" s="216"/>
      <c r="E65" s="216"/>
      <c r="F65" s="216"/>
      <c r="G65" s="216"/>
    </row>
    <row r="66" spans="1:7" x14ac:dyDescent="0.2">
      <c r="A66" s="216"/>
      <c r="B66" s="216"/>
      <c r="C66" s="216"/>
      <c r="D66" s="216"/>
      <c r="E66" s="216"/>
      <c r="F66" s="216"/>
      <c r="G66" s="216"/>
    </row>
    <row r="67" spans="1:7" x14ac:dyDescent="0.2">
      <c r="A67" s="216"/>
      <c r="B67" s="216"/>
      <c r="C67" s="216"/>
      <c r="D67" s="216"/>
      <c r="E67" s="216"/>
      <c r="F67" s="216"/>
      <c r="G67" s="216"/>
    </row>
    <row r="69" spans="1:7" ht="15" customHeight="1" x14ac:dyDescent="0.3">
      <c r="A69" s="1"/>
      <c r="B69" s="2"/>
      <c r="C69" s="3"/>
      <c r="D69" s="4"/>
      <c r="E69" s="5"/>
      <c r="F69" s="207" t="s">
        <v>0</v>
      </c>
      <c r="G69" s="207"/>
    </row>
    <row r="70" spans="1:7" ht="18.75" x14ac:dyDescent="0.3">
      <c r="A70" s="7" t="s">
        <v>1</v>
      </c>
      <c r="B70" s="7"/>
      <c r="C70" s="3"/>
      <c r="D70" s="4"/>
      <c r="E70" s="5"/>
      <c r="F70" s="5"/>
      <c r="G70" s="8"/>
    </row>
    <row r="71" spans="1:7" ht="15" x14ac:dyDescent="0.3">
      <c r="A71" s="1"/>
      <c r="B71" s="2"/>
      <c r="C71" s="3"/>
      <c r="D71" s="4"/>
      <c r="E71" s="5"/>
      <c r="F71" s="5"/>
      <c r="G71" s="8"/>
    </row>
    <row r="72" spans="1:7" ht="15" x14ac:dyDescent="0.3">
      <c r="A72" s="1"/>
      <c r="B72" s="2"/>
      <c r="C72" s="3"/>
      <c r="D72" s="4"/>
      <c r="E72" s="5"/>
      <c r="F72" s="5"/>
      <c r="G72" s="8"/>
    </row>
    <row r="73" spans="1:7" ht="18" x14ac:dyDescent="0.25">
      <c r="A73" s="208" t="s">
        <v>2019</v>
      </c>
      <c r="B73" s="208"/>
      <c r="C73" s="208"/>
      <c r="D73" s="208"/>
      <c r="E73" s="208"/>
      <c r="F73" s="208"/>
      <c r="G73" s="208"/>
    </row>
    <row r="74" spans="1:7" ht="15" x14ac:dyDescent="0.3">
      <c r="A74" s="1"/>
      <c r="B74" s="9"/>
      <c r="C74" s="9"/>
      <c r="D74" s="9"/>
      <c r="E74" s="9"/>
      <c r="F74" s="10"/>
      <c r="G74" s="11"/>
    </row>
    <row r="75" spans="1:7" x14ac:dyDescent="0.2">
      <c r="A75" s="12" t="s">
        <v>2</v>
      </c>
      <c r="B75" s="12" t="s">
        <v>3</v>
      </c>
      <c r="C75" s="13" t="s">
        <v>4</v>
      </c>
      <c r="D75" s="14" t="s">
        <v>5</v>
      </c>
      <c r="E75" s="13" t="s">
        <v>6</v>
      </c>
      <c r="F75" s="13" t="s">
        <v>7</v>
      </c>
      <c r="G75" s="13" t="s">
        <v>32</v>
      </c>
    </row>
    <row r="76" spans="1:7" ht="15" x14ac:dyDescent="0.3">
      <c r="A76" s="15">
        <v>1</v>
      </c>
      <c r="B76" s="16">
        <v>40912</v>
      </c>
      <c r="C76" s="33" t="s">
        <v>2093</v>
      </c>
      <c r="D76" s="18">
        <f t="shared" ref="D76:D83" si="1">+B76+30</f>
        <v>40942</v>
      </c>
      <c r="E76" s="19" t="s">
        <v>309</v>
      </c>
      <c r="F76" s="19" t="s">
        <v>2094</v>
      </c>
      <c r="G76" s="21">
        <v>10649.97</v>
      </c>
    </row>
    <row r="77" spans="1:7" ht="15" x14ac:dyDescent="0.3">
      <c r="A77" s="15">
        <v>2</v>
      </c>
      <c r="B77" s="16">
        <v>40912</v>
      </c>
      <c r="C77" s="33" t="s">
        <v>2095</v>
      </c>
      <c r="D77" s="18">
        <f t="shared" si="1"/>
        <v>40942</v>
      </c>
      <c r="E77" s="19" t="s">
        <v>309</v>
      </c>
      <c r="F77" s="19" t="s">
        <v>2096</v>
      </c>
      <c r="G77" s="21">
        <v>7092.89</v>
      </c>
    </row>
    <row r="78" spans="1:7" ht="15" x14ac:dyDescent="0.3">
      <c r="A78" s="15">
        <v>3</v>
      </c>
      <c r="B78" s="16">
        <v>40912</v>
      </c>
      <c r="C78" s="33" t="s">
        <v>2097</v>
      </c>
      <c r="D78" s="18">
        <f t="shared" si="1"/>
        <v>40942</v>
      </c>
      <c r="E78" s="19" t="s">
        <v>309</v>
      </c>
      <c r="F78" s="19" t="s">
        <v>2098</v>
      </c>
      <c r="G78" s="21">
        <v>7817.08</v>
      </c>
    </row>
    <row r="79" spans="1:7" ht="15" x14ac:dyDescent="0.3">
      <c r="A79" s="15">
        <v>4</v>
      </c>
      <c r="B79" s="16">
        <v>40912</v>
      </c>
      <c r="C79" s="33" t="s">
        <v>2099</v>
      </c>
      <c r="D79" s="18">
        <f t="shared" si="1"/>
        <v>40942</v>
      </c>
      <c r="E79" s="19" t="s">
        <v>309</v>
      </c>
      <c r="F79" s="19" t="s">
        <v>2098</v>
      </c>
      <c r="G79" s="21">
        <v>7817.08</v>
      </c>
    </row>
    <row r="80" spans="1:7" ht="15" x14ac:dyDescent="0.3">
      <c r="A80" s="15">
        <v>5</v>
      </c>
      <c r="B80" s="16">
        <v>40912</v>
      </c>
      <c r="C80" s="33" t="s">
        <v>2100</v>
      </c>
      <c r="D80" s="18">
        <f t="shared" si="1"/>
        <v>40942</v>
      </c>
      <c r="E80" s="19" t="s">
        <v>309</v>
      </c>
      <c r="F80" s="19" t="s">
        <v>2101</v>
      </c>
      <c r="G80" s="21">
        <v>8519.98</v>
      </c>
    </row>
    <row r="81" spans="1:7" ht="15" x14ac:dyDescent="0.3">
      <c r="A81" s="15">
        <v>6</v>
      </c>
      <c r="B81" s="16">
        <v>40912</v>
      </c>
      <c r="C81" s="33" t="s">
        <v>2102</v>
      </c>
      <c r="D81" s="18">
        <f t="shared" si="1"/>
        <v>40942</v>
      </c>
      <c r="E81" s="19" t="s">
        <v>309</v>
      </c>
      <c r="F81" s="19" t="s">
        <v>2096</v>
      </c>
      <c r="G81" s="21">
        <v>7092.89</v>
      </c>
    </row>
    <row r="82" spans="1:7" ht="15" x14ac:dyDescent="0.3">
      <c r="A82" s="15">
        <v>7</v>
      </c>
      <c r="B82" s="16">
        <v>40912</v>
      </c>
      <c r="C82" s="33" t="s">
        <v>2103</v>
      </c>
      <c r="D82" s="18">
        <f t="shared" si="1"/>
        <v>40942</v>
      </c>
      <c r="E82" s="19" t="s">
        <v>309</v>
      </c>
      <c r="F82" s="19" t="s">
        <v>2096</v>
      </c>
      <c r="G82" s="21">
        <v>7092.89</v>
      </c>
    </row>
    <row r="83" spans="1:7" ht="15" x14ac:dyDescent="0.3">
      <c r="A83" s="15">
        <v>8</v>
      </c>
      <c r="B83" s="16">
        <v>40912</v>
      </c>
      <c r="C83" s="33" t="s">
        <v>2104</v>
      </c>
      <c r="D83" s="18">
        <f t="shared" si="1"/>
        <v>40942</v>
      </c>
      <c r="E83" s="19" t="s">
        <v>309</v>
      </c>
      <c r="F83" s="19" t="s">
        <v>2105</v>
      </c>
      <c r="G83" s="21">
        <v>14547.87</v>
      </c>
    </row>
    <row r="84" spans="1:7" ht="45" x14ac:dyDescent="0.3">
      <c r="A84" s="15">
        <v>9</v>
      </c>
      <c r="B84" s="16">
        <v>40924</v>
      </c>
      <c r="C84" s="33" t="s">
        <v>2106</v>
      </c>
      <c r="D84" s="18">
        <f>+B84</f>
        <v>40924</v>
      </c>
      <c r="E84" s="19" t="s">
        <v>309</v>
      </c>
      <c r="F84" s="19" t="s">
        <v>2107</v>
      </c>
      <c r="G84" s="21">
        <v>944</v>
      </c>
    </row>
    <row r="85" spans="1:7" ht="15" x14ac:dyDescent="0.2">
      <c r="A85" s="22"/>
      <c r="B85" s="22"/>
      <c r="C85" s="23"/>
      <c r="D85" s="24"/>
      <c r="E85" s="25"/>
      <c r="F85" s="26" t="s">
        <v>24</v>
      </c>
      <c r="G85" s="36">
        <f>SUM(G76:G84)</f>
        <v>71574.649999999994</v>
      </c>
    </row>
    <row r="90" spans="1:7" ht="12.75" customHeight="1" x14ac:dyDescent="0.2">
      <c r="F90" s="207" t="s">
        <v>0</v>
      </c>
      <c r="G90" s="207"/>
    </row>
    <row r="91" spans="1:7" ht="18.75" x14ac:dyDescent="0.3">
      <c r="A91" s="31" t="s">
        <v>1</v>
      </c>
      <c r="B91" s="29"/>
      <c r="C91" s="37"/>
      <c r="D91" s="30"/>
      <c r="E91" s="5"/>
      <c r="F91" s="29"/>
      <c r="G91" s="29"/>
    </row>
    <row r="92" spans="1:7" ht="15" x14ac:dyDescent="0.3">
      <c r="A92" s="29"/>
      <c r="B92" s="30"/>
      <c r="C92" s="37"/>
      <c r="D92" s="30"/>
      <c r="E92" s="5"/>
      <c r="F92" s="5"/>
      <c r="G92" s="32"/>
    </row>
    <row r="93" spans="1:7" ht="15" x14ac:dyDescent="0.3">
      <c r="A93" s="29"/>
      <c r="B93" s="30"/>
      <c r="C93" s="37"/>
      <c r="D93" s="30"/>
      <c r="E93" s="5"/>
      <c r="F93" s="5"/>
      <c r="G93" s="32"/>
    </row>
    <row r="94" spans="1:7" ht="18" x14ac:dyDescent="0.25">
      <c r="A94" s="208" t="s">
        <v>2043</v>
      </c>
      <c r="B94" s="208"/>
      <c r="C94" s="208"/>
      <c r="D94" s="208"/>
      <c r="E94" s="208"/>
      <c r="F94" s="208"/>
      <c r="G94" s="208"/>
    </row>
    <row r="95" spans="1:7" ht="15" x14ac:dyDescent="0.3">
      <c r="A95" s="29"/>
      <c r="B95" s="9"/>
      <c r="C95" s="9"/>
      <c r="D95" s="9"/>
      <c r="E95" s="9"/>
      <c r="F95" s="10"/>
      <c r="G95" s="11"/>
    </row>
    <row r="96" spans="1:7" x14ac:dyDescent="0.2">
      <c r="A96" s="12" t="s">
        <v>2</v>
      </c>
      <c r="B96" s="12" t="s">
        <v>3</v>
      </c>
      <c r="C96" s="13" t="s">
        <v>4</v>
      </c>
      <c r="D96" s="14" t="s">
        <v>25</v>
      </c>
      <c r="E96" s="13" t="s">
        <v>6</v>
      </c>
      <c r="F96" s="13" t="s">
        <v>7</v>
      </c>
      <c r="G96" s="13" t="s">
        <v>32</v>
      </c>
    </row>
    <row r="97" spans="1:8" ht="60" x14ac:dyDescent="0.3">
      <c r="A97" s="15">
        <v>1</v>
      </c>
      <c r="B97" s="16">
        <v>40920</v>
      </c>
      <c r="C97" s="33" t="s">
        <v>2108</v>
      </c>
      <c r="D97" s="18" t="s">
        <v>2109</v>
      </c>
      <c r="E97" s="19" t="s">
        <v>2110</v>
      </c>
      <c r="F97" s="19" t="s">
        <v>2111</v>
      </c>
      <c r="G97" s="21">
        <f>410404-(410404*0.12)</f>
        <v>361155.52</v>
      </c>
      <c r="H97" t="s">
        <v>27</v>
      </c>
    </row>
    <row r="98" spans="1:8" ht="60" x14ac:dyDescent="0.3">
      <c r="A98" s="15">
        <v>2</v>
      </c>
      <c r="B98" s="16">
        <v>40920</v>
      </c>
      <c r="C98" s="33" t="s">
        <v>2112</v>
      </c>
      <c r="D98" s="18" t="s">
        <v>2113</v>
      </c>
      <c r="E98" s="19" t="s">
        <v>2110</v>
      </c>
      <c r="F98" s="19" t="s">
        <v>2114</v>
      </c>
      <c r="G98" s="21">
        <f>590000-(590000*0.12)</f>
        <v>519200</v>
      </c>
      <c r="H98" t="s">
        <v>27</v>
      </c>
    </row>
    <row r="99" spans="1:8" ht="15" x14ac:dyDescent="0.3">
      <c r="A99" s="29"/>
      <c r="B99" s="30"/>
      <c r="C99" s="37"/>
      <c r="D99" s="30"/>
      <c r="E99" s="5"/>
      <c r="F99" s="46" t="s">
        <v>24</v>
      </c>
      <c r="G99" s="36">
        <f>SUM(G97:G98)</f>
        <v>880355.52</v>
      </c>
    </row>
  </sheetData>
  <sheetProtection selectLockedCells="1" selectUnlockedCells="1"/>
  <mergeCells count="12">
    <mergeCell ref="F90:G90"/>
    <mergeCell ref="A94:G94"/>
    <mergeCell ref="A56:G56"/>
    <mergeCell ref="A57:G57"/>
    <mergeCell ref="A65:G67"/>
    <mergeCell ref="F69:G69"/>
    <mergeCell ref="A73:G73"/>
    <mergeCell ref="F1:G1"/>
    <mergeCell ref="A5:G5"/>
    <mergeCell ref="F26:G26"/>
    <mergeCell ref="A30:G30"/>
    <mergeCell ref="F52:G52"/>
  </mergeCells>
  <printOptions horizontalCentered="1"/>
  <pageMargins left="0" right="0" top="0.74791666666666667" bottom="0.74791666666666667" header="0.51180555555555551" footer="0.51180555555555551"/>
  <pageSetup paperSize="9" scale="80" firstPageNumber="0" orientation="portrait" horizontalDpi="300" verticalDpi="300" r:id="rId1"/>
  <headerFooter alignWithMargins="0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8"/>
  <dimension ref="A1:J19"/>
  <sheetViews>
    <sheetView workbookViewId="0">
      <selection activeCell="C12" sqref="C12"/>
    </sheetView>
  </sheetViews>
  <sheetFormatPr baseColWidth="10" defaultColWidth="10.7109375" defaultRowHeight="12.75" x14ac:dyDescent="0.2"/>
  <cols>
    <col min="1" max="1" width="4.42578125" customWidth="1"/>
    <col min="2" max="2" width="12.28515625" customWidth="1"/>
    <col min="4" max="4" width="12.42578125" customWidth="1"/>
    <col min="5" max="5" width="22.85546875" customWidth="1"/>
    <col min="6" max="6" width="25.5703125" customWidth="1"/>
    <col min="7" max="7" width="13.28515625" customWidth="1"/>
  </cols>
  <sheetData>
    <row r="1" spans="1:10" ht="15" customHeight="1" x14ac:dyDescent="0.3">
      <c r="A1" s="1"/>
      <c r="B1" s="2"/>
      <c r="C1" s="3"/>
      <c r="D1" s="4"/>
      <c r="E1" s="5"/>
      <c r="F1" s="207" t="s">
        <v>0</v>
      </c>
      <c r="G1" s="207"/>
    </row>
    <row r="2" spans="1:10" ht="18.75" x14ac:dyDescent="0.3">
      <c r="A2" s="7" t="s">
        <v>1</v>
      </c>
      <c r="B2" s="7"/>
      <c r="C2" s="3"/>
      <c r="D2" s="4"/>
      <c r="E2" s="5"/>
      <c r="F2" s="5"/>
      <c r="G2" s="8"/>
    </row>
    <row r="3" spans="1:10" ht="15" x14ac:dyDescent="0.3">
      <c r="A3" s="1"/>
      <c r="B3" s="2"/>
      <c r="C3" s="3"/>
      <c r="D3" s="4"/>
      <c r="E3" s="5"/>
      <c r="F3" s="5"/>
      <c r="G3" s="8"/>
    </row>
    <row r="4" spans="1:10" ht="15" x14ac:dyDescent="0.3">
      <c r="A4" s="1"/>
      <c r="B4" s="2"/>
      <c r="C4" s="3"/>
      <c r="D4" s="4"/>
      <c r="E4" s="5"/>
      <c r="F4" s="5"/>
      <c r="G4" s="8"/>
    </row>
    <row r="5" spans="1:10" ht="18" x14ac:dyDescent="0.25">
      <c r="A5" s="208" t="s">
        <v>2115</v>
      </c>
      <c r="B5" s="208"/>
      <c r="C5" s="208"/>
      <c r="D5" s="208"/>
      <c r="E5" s="208"/>
      <c r="F5" s="208"/>
      <c r="G5" s="208"/>
    </row>
    <row r="6" spans="1:10" ht="15" x14ac:dyDescent="0.3">
      <c r="A6" s="1"/>
      <c r="B6" s="9"/>
      <c r="C6" s="9"/>
      <c r="D6" s="9"/>
      <c r="E6" s="9"/>
      <c r="F6" s="10"/>
      <c r="G6" s="11"/>
    </row>
    <row r="7" spans="1:10" x14ac:dyDescent="0.2">
      <c r="A7" s="12" t="s">
        <v>2</v>
      </c>
      <c r="B7" s="12" t="s">
        <v>3</v>
      </c>
      <c r="C7" s="13" t="s">
        <v>4</v>
      </c>
      <c r="D7" s="14" t="s">
        <v>5</v>
      </c>
      <c r="E7" s="13" t="s">
        <v>6</v>
      </c>
      <c r="F7" s="13" t="s">
        <v>7</v>
      </c>
      <c r="G7" s="13" t="s">
        <v>8</v>
      </c>
    </row>
    <row r="8" spans="1:10" ht="45" x14ac:dyDescent="0.3">
      <c r="A8" s="15">
        <v>1</v>
      </c>
      <c r="B8" s="16">
        <v>40911</v>
      </c>
      <c r="C8" s="33" t="s">
        <v>2116</v>
      </c>
      <c r="D8" s="18">
        <f>+B8+30</f>
        <v>40941</v>
      </c>
      <c r="E8" s="19" t="s">
        <v>1428</v>
      </c>
      <c r="F8" s="19" t="s">
        <v>2117</v>
      </c>
      <c r="G8" s="21">
        <v>22273.99</v>
      </c>
      <c r="J8" s="35"/>
    </row>
    <row r="9" spans="1:10" ht="45" x14ac:dyDescent="0.3">
      <c r="A9" s="15">
        <v>2</v>
      </c>
      <c r="B9" s="16">
        <v>40911</v>
      </c>
      <c r="C9" s="33" t="s">
        <v>2118</v>
      </c>
      <c r="D9" s="18">
        <f>+B9+30</f>
        <v>40941</v>
      </c>
      <c r="E9" s="19" t="s">
        <v>1428</v>
      </c>
      <c r="F9" s="19" t="s">
        <v>2119</v>
      </c>
      <c r="G9" s="21">
        <v>1944.06</v>
      </c>
      <c r="J9" s="35"/>
    </row>
    <row r="10" spans="1:10" ht="30" x14ac:dyDescent="0.3">
      <c r="A10" s="15">
        <v>3</v>
      </c>
      <c r="B10" s="16">
        <v>40914</v>
      </c>
      <c r="C10" s="33" t="s">
        <v>2120</v>
      </c>
      <c r="D10" s="18">
        <f>+B10+30</f>
        <v>40944</v>
      </c>
      <c r="E10" s="19" t="s">
        <v>2121</v>
      </c>
      <c r="F10" s="19" t="s">
        <v>2122</v>
      </c>
      <c r="G10" s="21">
        <v>108.51</v>
      </c>
    </row>
    <row r="11" spans="1:10" s="60" customFormat="1" ht="30" x14ac:dyDescent="0.3">
      <c r="A11" s="15">
        <v>4</v>
      </c>
      <c r="B11" s="16">
        <v>40809</v>
      </c>
      <c r="C11" s="17" t="s">
        <v>2123</v>
      </c>
      <c r="D11" s="18">
        <f>+B11+30</f>
        <v>40839</v>
      </c>
      <c r="E11" s="19" t="s">
        <v>20</v>
      </c>
      <c r="F11" s="19" t="s">
        <v>640</v>
      </c>
      <c r="G11" s="21">
        <v>81.239999999999995</v>
      </c>
      <c r="H11" s="107" t="s">
        <v>2124</v>
      </c>
    </row>
    <row r="12" spans="1:10" s="60" customFormat="1" ht="30" x14ac:dyDescent="0.3">
      <c r="A12" s="15">
        <v>5</v>
      </c>
      <c r="B12" s="16">
        <v>40809</v>
      </c>
      <c r="C12" s="17" t="s">
        <v>2125</v>
      </c>
      <c r="D12" s="18">
        <f>+B12</f>
        <v>40809</v>
      </c>
      <c r="E12" s="19" t="s">
        <v>20</v>
      </c>
      <c r="F12" s="19" t="s">
        <v>2126</v>
      </c>
      <c r="G12" s="21">
        <v>-7.59</v>
      </c>
      <c r="H12" s="107"/>
    </row>
    <row r="13" spans="1:10" s="60" customFormat="1" ht="30" x14ac:dyDescent="0.3">
      <c r="A13" s="15">
        <v>6</v>
      </c>
      <c r="B13" s="16">
        <v>40928</v>
      </c>
      <c r="C13" s="17" t="s">
        <v>2127</v>
      </c>
      <c r="D13" s="18">
        <f>+B13+7</f>
        <v>40935</v>
      </c>
      <c r="E13" s="19" t="s">
        <v>2128</v>
      </c>
      <c r="F13" s="19" t="s">
        <v>12</v>
      </c>
      <c r="G13" s="21">
        <v>28.49</v>
      </c>
      <c r="H13" s="107"/>
    </row>
    <row r="14" spans="1:10" s="60" customFormat="1" ht="30" x14ac:dyDescent="0.3">
      <c r="A14" s="15">
        <v>7</v>
      </c>
      <c r="B14" s="16">
        <v>40925</v>
      </c>
      <c r="C14" s="17" t="s">
        <v>2129</v>
      </c>
      <c r="D14" s="18">
        <f>+B14+15</f>
        <v>40940</v>
      </c>
      <c r="E14" s="19" t="s">
        <v>2130</v>
      </c>
      <c r="F14" s="19" t="s">
        <v>2131</v>
      </c>
      <c r="G14" s="21">
        <v>120</v>
      </c>
      <c r="H14" s="107"/>
    </row>
    <row r="15" spans="1:10" s="60" customFormat="1" ht="30" x14ac:dyDescent="0.3">
      <c r="A15" s="15">
        <v>8</v>
      </c>
      <c r="B15" s="16">
        <v>40924</v>
      </c>
      <c r="C15" s="17" t="s">
        <v>2132</v>
      </c>
      <c r="D15" s="18">
        <f>+B15+7</f>
        <v>40931</v>
      </c>
      <c r="E15" s="19" t="s">
        <v>23</v>
      </c>
      <c r="F15" s="19" t="s">
        <v>2133</v>
      </c>
      <c r="G15" s="21">
        <v>283.2</v>
      </c>
      <c r="H15" s="107"/>
    </row>
    <row r="16" spans="1:10" s="60" customFormat="1" ht="30" x14ac:dyDescent="0.3">
      <c r="A16" s="15">
        <v>9</v>
      </c>
      <c r="B16" s="16">
        <v>40925</v>
      </c>
      <c r="C16" s="17" t="s">
        <v>2134</v>
      </c>
      <c r="D16" s="18">
        <f>+B16+15</f>
        <v>40940</v>
      </c>
      <c r="E16" s="19" t="s">
        <v>2135</v>
      </c>
      <c r="F16" s="19" t="s">
        <v>2136</v>
      </c>
      <c r="G16" s="21">
        <v>305.86</v>
      </c>
      <c r="H16" s="107"/>
    </row>
    <row r="17" spans="1:7" ht="15" x14ac:dyDescent="0.2">
      <c r="A17" s="22"/>
      <c r="B17" s="22"/>
      <c r="C17" s="23"/>
      <c r="D17" s="24"/>
      <c r="E17" s="25"/>
      <c r="F17" s="26" t="s">
        <v>24</v>
      </c>
      <c r="G17" s="27">
        <f>SUM(G8:G16)</f>
        <v>25137.760000000006</v>
      </c>
    </row>
    <row r="19" spans="1:7" x14ac:dyDescent="0.2">
      <c r="B19" s="35"/>
      <c r="D19" s="35"/>
    </row>
  </sheetData>
  <sheetProtection selectLockedCells="1" selectUnlockedCells="1"/>
  <mergeCells count="2">
    <mergeCell ref="F1:G1"/>
    <mergeCell ref="A5:G5"/>
  </mergeCells>
  <printOptions horizontalCentered="1"/>
  <pageMargins left="0" right="0" top="0.74791666666666667" bottom="0.74791666666666667" header="0.51180555555555551" footer="0.51180555555555551"/>
  <pageSetup paperSize="9" scale="90" firstPageNumber="0" orientation="portrait" horizontalDpi="300" verticalDpi="30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9"/>
  <dimension ref="A1:I56"/>
  <sheetViews>
    <sheetView zoomScale="84" zoomScaleNormal="84" workbookViewId="0">
      <selection activeCell="C12" sqref="C12"/>
    </sheetView>
  </sheetViews>
  <sheetFormatPr baseColWidth="10" defaultColWidth="10.7109375" defaultRowHeight="12.75" x14ac:dyDescent="0.2"/>
  <cols>
    <col min="1" max="1" width="5.140625" customWidth="1"/>
    <col min="2" max="2" width="13.5703125" customWidth="1"/>
    <col min="4" max="4" width="12.7109375" customWidth="1"/>
    <col min="5" max="5" width="26.42578125" customWidth="1"/>
    <col min="6" max="6" width="39.5703125" customWidth="1"/>
    <col min="7" max="7" width="14.28515625" customWidth="1"/>
    <col min="8" max="8" width="32.140625" customWidth="1"/>
    <col min="9" max="9" width="4.85546875" customWidth="1"/>
    <col min="10" max="10" width="14.7109375" customWidth="1"/>
    <col min="11" max="11" width="20.140625" customWidth="1"/>
    <col min="12" max="12" width="26.42578125" customWidth="1"/>
  </cols>
  <sheetData>
    <row r="1" spans="1:7" ht="15" customHeight="1" x14ac:dyDescent="0.3">
      <c r="A1" s="1"/>
      <c r="B1" s="2"/>
      <c r="C1" s="3"/>
      <c r="D1" s="4"/>
      <c r="E1" s="5"/>
      <c r="F1" s="207" t="s">
        <v>0</v>
      </c>
      <c r="G1" s="207"/>
    </row>
    <row r="2" spans="1:7" ht="18.75" x14ac:dyDescent="0.3">
      <c r="A2" s="7" t="s">
        <v>1</v>
      </c>
      <c r="B2" s="7"/>
      <c r="C2" s="3"/>
      <c r="D2" s="4"/>
      <c r="E2" s="5"/>
      <c r="F2" s="5"/>
      <c r="G2" s="8"/>
    </row>
    <row r="3" spans="1:7" ht="15" x14ac:dyDescent="0.3">
      <c r="A3" s="1"/>
      <c r="B3" s="2"/>
      <c r="C3" s="3"/>
      <c r="D3" s="4"/>
      <c r="E3" s="5"/>
      <c r="F3" s="5"/>
      <c r="G3" s="8"/>
    </row>
    <row r="4" spans="1:7" ht="15" x14ac:dyDescent="0.3">
      <c r="A4" s="1"/>
      <c r="B4" s="2"/>
      <c r="C4" s="3"/>
      <c r="D4" s="4"/>
      <c r="E4" s="5"/>
      <c r="F4" s="5"/>
      <c r="G4" s="8"/>
    </row>
    <row r="5" spans="1:7" ht="18" x14ac:dyDescent="0.25">
      <c r="A5" s="208" t="s">
        <v>2137</v>
      </c>
      <c r="B5" s="208"/>
      <c r="C5" s="208"/>
      <c r="D5" s="208"/>
      <c r="E5" s="208"/>
      <c r="F5" s="208"/>
      <c r="G5" s="208"/>
    </row>
    <row r="6" spans="1:7" ht="15" x14ac:dyDescent="0.3">
      <c r="A6" s="1"/>
      <c r="B6" s="9"/>
      <c r="C6" s="9"/>
      <c r="D6" s="9"/>
      <c r="E6" s="9"/>
      <c r="F6" s="10"/>
      <c r="G6" s="11"/>
    </row>
    <row r="7" spans="1:7" x14ac:dyDescent="0.2">
      <c r="A7" s="12" t="s">
        <v>2</v>
      </c>
      <c r="B7" s="12" t="s">
        <v>3</v>
      </c>
      <c r="C7" s="13" t="s">
        <v>4</v>
      </c>
      <c r="D7" s="14" t="s">
        <v>5</v>
      </c>
      <c r="E7" s="13" t="s">
        <v>6</v>
      </c>
      <c r="F7" s="13" t="s">
        <v>7</v>
      </c>
      <c r="G7" s="13" t="s">
        <v>32</v>
      </c>
    </row>
    <row r="8" spans="1:7" ht="30" x14ac:dyDescent="0.3">
      <c r="A8" s="15">
        <v>1</v>
      </c>
      <c r="B8" s="16">
        <v>40920</v>
      </c>
      <c r="C8" s="33" t="s">
        <v>2138</v>
      </c>
      <c r="D8" s="18">
        <f>+B8+30</f>
        <v>40950</v>
      </c>
      <c r="E8" s="19" t="s">
        <v>1453</v>
      </c>
      <c r="F8" s="19" t="s">
        <v>2139</v>
      </c>
      <c r="G8" s="21">
        <v>901.52</v>
      </c>
    </row>
    <row r="9" spans="1:7" ht="30" x14ac:dyDescent="0.3">
      <c r="A9" s="15">
        <v>2</v>
      </c>
      <c r="B9" s="16">
        <v>40921</v>
      </c>
      <c r="C9" s="33" t="s">
        <v>2140</v>
      </c>
      <c r="D9" s="18">
        <f>+B9+30</f>
        <v>40951</v>
      </c>
      <c r="E9" s="19" t="s">
        <v>44</v>
      </c>
      <c r="F9" s="19" t="s">
        <v>2141</v>
      </c>
      <c r="G9" s="21">
        <v>34.53</v>
      </c>
    </row>
    <row r="10" spans="1:7" ht="26.25" x14ac:dyDescent="0.3">
      <c r="A10" s="15">
        <v>3</v>
      </c>
      <c r="B10" s="16">
        <v>40931</v>
      </c>
      <c r="C10" s="33" t="s">
        <v>2142</v>
      </c>
      <c r="D10" s="18">
        <f>+B10+15</f>
        <v>40946</v>
      </c>
      <c r="E10" s="19" t="s">
        <v>44</v>
      </c>
      <c r="F10" s="19" t="s">
        <v>2143</v>
      </c>
      <c r="G10" s="21">
        <v>122.53</v>
      </c>
    </row>
    <row r="11" spans="1:7" ht="30" x14ac:dyDescent="0.3">
      <c r="A11" s="15">
        <v>4</v>
      </c>
      <c r="B11" s="16">
        <v>40919</v>
      </c>
      <c r="C11" s="33" t="s">
        <v>2144</v>
      </c>
      <c r="D11" s="18">
        <f>+B11+30</f>
        <v>40949</v>
      </c>
      <c r="E11" s="19" t="s">
        <v>40</v>
      </c>
      <c r="F11" s="19" t="s">
        <v>2145</v>
      </c>
      <c r="G11" s="21">
        <v>180</v>
      </c>
    </row>
    <row r="12" spans="1:7" ht="30" x14ac:dyDescent="0.3">
      <c r="A12" s="15">
        <v>5</v>
      </c>
      <c r="B12" s="16">
        <v>40921</v>
      </c>
      <c r="C12" s="33" t="s">
        <v>2146</v>
      </c>
      <c r="D12" s="18">
        <f>+B12+30</f>
        <v>40951</v>
      </c>
      <c r="E12" s="19" t="s">
        <v>40</v>
      </c>
      <c r="F12" s="19" t="s">
        <v>2147</v>
      </c>
      <c r="G12" s="21">
        <v>26.55</v>
      </c>
    </row>
    <row r="13" spans="1:7" ht="30" x14ac:dyDescent="0.3">
      <c r="A13" s="15">
        <v>6</v>
      </c>
      <c r="B13" s="16">
        <v>40909</v>
      </c>
      <c r="C13" s="33">
        <v>74475564</v>
      </c>
      <c r="D13" s="18">
        <v>40939</v>
      </c>
      <c r="E13" s="19" t="s">
        <v>67</v>
      </c>
      <c r="F13" s="19" t="s">
        <v>2148</v>
      </c>
      <c r="G13" s="21">
        <v>35.4</v>
      </c>
    </row>
    <row r="14" spans="1:7" ht="30" x14ac:dyDescent="0.3">
      <c r="A14" s="15">
        <v>7</v>
      </c>
      <c r="B14" s="16">
        <v>40909</v>
      </c>
      <c r="C14" s="33">
        <v>62542202</v>
      </c>
      <c r="D14" s="18">
        <v>40939</v>
      </c>
      <c r="E14" s="19" t="s">
        <v>393</v>
      </c>
      <c r="F14" s="19" t="s">
        <v>2149</v>
      </c>
      <c r="G14" s="21">
        <v>36.46</v>
      </c>
    </row>
    <row r="15" spans="1:7" ht="15" x14ac:dyDescent="0.3">
      <c r="A15" s="15">
        <v>8</v>
      </c>
      <c r="B15" s="16">
        <v>40940</v>
      </c>
      <c r="C15" s="33">
        <v>74478281</v>
      </c>
      <c r="D15" s="18">
        <v>40968</v>
      </c>
      <c r="E15" s="19" t="s">
        <v>67</v>
      </c>
      <c r="F15" s="19" t="s">
        <v>2150</v>
      </c>
      <c r="G15" s="21">
        <v>1097.3599999999999</v>
      </c>
    </row>
    <row r="16" spans="1:7" ht="15" x14ac:dyDescent="0.3">
      <c r="A16" s="15">
        <v>9</v>
      </c>
      <c r="B16" s="16">
        <v>40940</v>
      </c>
      <c r="C16" s="33">
        <v>62544995</v>
      </c>
      <c r="D16" s="18">
        <v>40968</v>
      </c>
      <c r="E16" s="19" t="s">
        <v>393</v>
      </c>
      <c r="F16" s="19" t="s">
        <v>2151</v>
      </c>
      <c r="G16" s="21">
        <v>721.95</v>
      </c>
    </row>
    <row r="17" spans="1:8" ht="30" x14ac:dyDescent="0.3">
      <c r="A17" s="15">
        <v>10</v>
      </c>
      <c r="B17" s="16">
        <v>40933</v>
      </c>
      <c r="C17" s="33" t="s">
        <v>2152</v>
      </c>
      <c r="D17" s="18">
        <f>+B17+15</f>
        <v>40948</v>
      </c>
      <c r="E17" s="19" t="s">
        <v>17</v>
      </c>
      <c r="F17" s="19" t="s">
        <v>2153</v>
      </c>
      <c r="G17" s="21">
        <v>660.8</v>
      </c>
    </row>
    <row r="18" spans="1:8" ht="15" x14ac:dyDescent="0.3">
      <c r="A18" s="15">
        <v>11</v>
      </c>
      <c r="B18" s="16">
        <v>40907</v>
      </c>
      <c r="C18" s="33" t="s">
        <v>2154</v>
      </c>
      <c r="D18" s="18">
        <f>+B18+30</f>
        <v>40937</v>
      </c>
      <c r="E18" s="19" t="s">
        <v>2155</v>
      </c>
      <c r="F18" s="19" t="s">
        <v>2156</v>
      </c>
      <c r="G18" s="21">
        <v>129.84</v>
      </c>
    </row>
    <row r="19" spans="1:8" ht="26.25" x14ac:dyDescent="0.3">
      <c r="A19" s="15">
        <v>12</v>
      </c>
      <c r="B19" s="16">
        <v>40915</v>
      </c>
      <c r="C19" s="33" t="s">
        <v>2157</v>
      </c>
      <c r="D19" s="18">
        <f>+B19+15</f>
        <v>40930</v>
      </c>
      <c r="E19" s="19" t="s">
        <v>233</v>
      </c>
      <c r="F19" s="19" t="s">
        <v>1862</v>
      </c>
      <c r="G19" s="21">
        <f>138+2.76</f>
        <v>140.76</v>
      </c>
    </row>
    <row r="20" spans="1:8" ht="15" x14ac:dyDescent="0.2">
      <c r="A20" s="22"/>
      <c r="B20" s="22"/>
      <c r="C20" s="23"/>
      <c r="D20" s="24"/>
      <c r="E20" s="25"/>
      <c r="F20" s="26" t="s">
        <v>24</v>
      </c>
      <c r="G20" s="36">
        <f>SUM(G8:G19)</f>
        <v>4087.7000000000007</v>
      </c>
    </row>
    <row r="23" spans="1:8" ht="15" x14ac:dyDescent="0.3">
      <c r="A23" s="15">
        <v>15</v>
      </c>
      <c r="B23" s="16">
        <v>40907</v>
      </c>
      <c r="C23" s="33" t="s">
        <v>2158</v>
      </c>
      <c r="D23" s="18">
        <f>+B23+30</f>
        <v>40937</v>
      </c>
      <c r="E23" s="19" t="s">
        <v>2155</v>
      </c>
      <c r="F23" s="19" t="s">
        <v>2159</v>
      </c>
      <c r="G23" s="21">
        <v>540</v>
      </c>
      <c r="H23" t="s">
        <v>2160</v>
      </c>
    </row>
    <row r="27" spans="1:8" ht="12.75" customHeight="1" x14ac:dyDescent="0.2">
      <c r="F27" s="207" t="s">
        <v>0</v>
      </c>
      <c r="G27" s="207"/>
    </row>
    <row r="28" spans="1:8" ht="18.75" x14ac:dyDescent="0.3">
      <c r="A28" s="31" t="s">
        <v>1</v>
      </c>
      <c r="B28" s="29"/>
      <c r="C28" s="37"/>
      <c r="D28" s="30"/>
      <c r="E28" s="5"/>
      <c r="F28" s="29"/>
      <c r="G28" s="29"/>
    </row>
    <row r="29" spans="1:8" ht="15" x14ac:dyDescent="0.3">
      <c r="A29" s="29"/>
      <c r="B29" s="30"/>
      <c r="C29" s="37"/>
      <c r="D29" s="30"/>
      <c r="E29" s="5"/>
      <c r="F29" s="5"/>
      <c r="G29" s="32"/>
    </row>
    <row r="30" spans="1:8" ht="18" x14ac:dyDescent="0.25">
      <c r="A30" s="208" t="s">
        <v>2161</v>
      </c>
      <c r="B30" s="208"/>
      <c r="C30" s="208"/>
      <c r="D30" s="208"/>
      <c r="E30" s="208"/>
      <c r="F30" s="208"/>
      <c r="G30" s="208"/>
    </row>
    <row r="31" spans="1:8" ht="15" x14ac:dyDescent="0.3">
      <c r="A31" s="29"/>
      <c r="B31" s="9"/>
      <c r="C31" s="9"/>
      <c r="D31" s="9"/>
      <c r="E31" s="9"/>
      <c r="F31" s="10"/>
      <c r="G31" s="11"/>
    </row>
    <row r="32" spans="1:8" x14ac:dyDescent="0.2">
      <c r="A32" s="12" t="s">
        <v>2</v>
      </c>
      <c r="B32" s="12" t="s">
        <v>3</v>
      </c>
      <c r="C32" s="13" t="s">
        <v>4</v>
      </c>
      <c r="D32" s="14" t="s">
        <v>25</v>
      </c>
      <c r="E32" s="13" t="s">
        <v>6</v>
      </c>
      <c r="F32" s="13" t="s">
        <v>7</v>
      </c>
      <c r="G32" s="13" t="s">
        <v>32</v>
      </c>
    </row>
    <row r="33" spans="1:9" ht="30" x14ac:dyDescent="0.3">
      <c r="A33" s="15">
        <v>1</v>
      </c>
      <c r="B33" s="16">
        <v>40935</v>
      </c>
      <c r="C33" s="33" t="s">
        <v>1406</v>
      </c>
      <c r="D33" s="18" t="s">
        <v>2162</v>
      </c>
      <c r="E33" s="19" t="s">
        <v>260</v>
      </c>
      <c r="F33" s="19" t="s">
        <v>2068</v>
      </c>
      <c r="G33" s="21">
        <f>1129.5</f>
        <v>1129.5</v>
      </c>
      <c r="H33" s="45" t="s">
        <v>27</v>
      </c>
    </row>
    <row r="34" spans="1:9" ht="30" x14ac:dyDescent="0.3">
      <c r="A34" s="15">
        <v>2</v>
      </c>
      <c r="B34" s="16">
        <v>40920</v>
      </c>
      <c r="C34" s="33" t="s">
        <v>2069</v>
      </c>
      <c r="D34" s="18" t="s">
        <v>2163</v>
      </c>
      <c r="E34" s="19" t="s">
        <v>2071</v>
      </c>
      <c r="F34" s="19" t="s">
        <v>2072</v>
      </c>
      <c r="G34" s="21">
        <f>1003</f>
        <v>1003</v>
      </c>
      <c r="H34" s="45" t="s">
        <v>27</v>
      </c>
    </row>
    <row r="35" spans="1:9" ht="45" x14ac:dyDescent="0.3">
      <c r="A35" s="15">
        <v>3</v>
      </c>
      <c r="B35" s="16">
        <v>40935</v>
      </c>
      <c r="C35" s="33" t="s">
        <v>2073</v>
      </c>
      <c r="D35" s="18" t="s">
        <v>2164</v>
      </c>
      <c r="E35" s="19" t="s">
        <v>1171</v>
      </c>
      <c r="F35" s="19" t="s">
        <v>2075</v>
      </c>
      <c r="G35" s="21">
        <f>395.05</f>
        <v>395.05</v>
      </c>
      <c r="H35" s="45" t="s">
        <v>27</v>
      </c>
    </row>
    <row r="36" spans="1:9" ht="30" x14ac:dyDescent="0.3">
      <c r="A36" s="15">
        <v>4</v>
      </c>
      <c r="B36" s="16">
        <v>40939</v>
      </c>
      <c r="C36" s="33" t="s">
        <v>1406</v>
      </c>
      <c r="D36" s="18" t="s">
        <v>2165</v>
      </c>
      <c r="E36" s="19" t="s">
        <v>1588</v>
      </c>
      <c r="F36" s="19" t="s">
        <v>2077</v>
      </c>
      <c r="G36" s="21">
        <f>301.29</f>
        <v>301.29000000000002</v>
      </c>
      <c r="H36" s="59" t="s">
        <v>27</v>
      </c>
      <c r="I36" t="s">
        <v>2166</v>
      </c>
    </row>
    <row r="37" spans="1:9" ht="30" x14ac:dyDescent="0.3">
      <c r="A37" s="15">
        <v>5</v>
      </c>
      <c r="B37" s="16">
        <v>40946</v>
      </c>
      <c r="C37" s="33" t="s">
        <v>2085</v>
      </c>
      <c r="D37" s="18" t="s">
        <v>2167</v>
      </c>
      <c r="E37" s="19" t="s">
        <v>131</v>
      </c>
      <c r="F37" s="19" t="s">
        <v>2087</v>
      </c>
      <c r="G37" s="21">
        <f>725</f>
        <v>725</v>
      </c>
      <c r="H37" s="59" t="s">
        <v>27</v>
      </c>
    </row>
    <row r="38" spans="1:9" ht="39" x14ac:dyDescent="0.3">
      <c r="A38" s="15">
        <v>6</v>
      </c>
      <c r="B38" s="16">
        <v>40945</v>
      </c>
      <c r="C38" s="33" t="s">
        <v>2168</v>
      </c>
      <c r="D38" s="18" t="s">
        <v>2169</v>
      </c>
      <c r="E38" s="19" t="s">
        <v>2063</v>
      </c>
      <c r="F38" s="19" t="s">
        <v>2170</v>
      </c>
      <c r="G38" s="21">
        <f>4248+4248</f>
        <v>8496</v>
      </c>
      <c r="H38" s="59" t="s">
        <v>27</v>
      </c>
    </row>
    <row r="39" spans="1:9" ht="30" x14ac:dyDescent="0.3">
      <c r="A39" s="15"/>
      <c r="B39" s="16">
        <v>40920</v>
      </c>
      <c r="C39" s="33" t="s">
        <v>1406</v>
      </c>
      <c r="D39" s="18" t="s">
        <v>2171</v>
      </c>
      <c r="E39" s="19" t="s">
        <v>2172</v>
      </c>
      <c r="F39" s="19" t="s">
        <v>446</v>
      </c>
      <c r="G39" s="21">
        <v>28718.34</v>
      </c>
      <c r="H39" s="59" t="s">
        <v>2173</v>
      </c>
    </row>
    <row r="40" spans="1:9" ht="30" x14ac:dyDescent="0.3">
      <c r="A40" s="15">
        <v>7</v>
      </c>
      <c r="B40" s="16">
        <v>40948</v>
      </c>
      <c r="C40" s="33" t="s">
        <v>1406</v>
      </c>
      <c r="D40" s="18" t="s">
        <v>2174</v>
      </c>
      <c r="E40" s="19" t="s">
        <v>1419</v>
      </c>
      <c r="F40" s="19" t="s">
        <v>2175</v>
      </c>
      <c r="G40" s="21">
        <f>45+22+2.4+39</f>
        <v>108.4</v>
      </c>
      <c r="H40" s="59" t="s">
        <v>27</v>
      </c>
    </row>
    <row r="41" spans="1:9" ht="30" x14ac:dyDescent="0.3">
      <c r="A41" s="15">
        <v>8</v>
      </c>
      <c r="B41" s="16">
        <v>40948</v>
      </c>
      <c r="C41" s="33" t="s">
        <v>29</v>
      </c>
      <c r="D41" s="18" t="s">
        <v>2176</v>
      </c>
      <c r="E41" s="19" t="s">
        <v>1419</v>
      </c>
      <c r="F41" s="19" t="s">
        <v>2177</v>
      </c>
      <c r="G41" s="21">
        <v>3500</v>
      </c>
      <c r="H41" s="59" t="s">
        <v>27</v>
      </c>
    </row>
    <row r="42" spans="1:9" ht="30" x14ac:dyDescent="0.3">
      <c r="A42" s="15">
        <v>9</v>
      </c>
      <c r="B42" s="16">
        <v>40954</v>
      </c>
      <c r="C42" s="33" t="s">
        <v>403</v>
      </c>
      <c r="D42" s="18" t="s">
        <v>2178</v>
      </c>
      <c r="E42" s="19" t="s">
        <v>1177</v>
      </c>
      <c r="F42" s="19" t="s">
        <v>2179</v>
      </c>
      <c r="G42" s="21">
        <v>1321.03</v>
      </c>
      <c r="H42" s="59" t="s">
        <v>27</v>
      </c>
    </row>
    <row r="43" spans="1:9" ht="30" x14ac:dyDescent="0.3">
      <c r="A43" s="15">
        <v>10</v>
      </c>
      <c r="B43" s="16">
        <v>40954</v>
      </c>
      <c r="C43" s="33" t="s">
        <v>2180</v>
      </c>
      <c r="D43" s="18" t="s">
        <v>2181</v>
      </c>
      <c r="E43" s="19" t="s">
        <v>208</v>
      </c>
      <c r="F43" s="19" t="s">
        <v>2182</v>
      </c>
      <c r="G43" s="21">
        <v>97.15</v>
      </c>
      <c r="H43" s="59" t="s">
        <v>27</v>
      </c>
    </row>
    <row r="44" spans="1:9" ht="15" x14ac:dyDescent="0.3">
      <c r="A44" s="29"/>
      <c r="B44" s="30"/>
      <c r="C44" s="37"/>
      <c r="D44" s="30"/>
      <c r="E44" s="5"/>
      <c r="F44" s="46" t="s">
        <v>24</v>
      </c>
      <c r="G44" s="36">
        <f>SUM(G33:G43)</f>
        <v>45794.76</v>
      </c>
    </row>
    <row r="53" spans="7:7" x14ac:dyDescent="0.2">
      <c r="G53" s="75"/>
    </row>
    <row r="56" spans="7:7" x14ac:dyDescent="0.2">
      <c r="G56" s="75"/>
    </row>
  </sheetData>
  <sheetProtection selectLockedCells="1" selectUnlockedCells="1"/>
  <mergeCells count="4">
    <mergeCell ref="F1:G1"/>
    <mergeCell ref="A5:G5"/>
    <mergeCell ref="F27:G27"/>
    <mergeCell ref="A30:G30"/>
  </mergeCells>
  <printOptions horizontalCentered="1"/>
  <pageMargins left="0" right="0" top="0.74791666666666667" bottom="0.74791666666666667" header="0.51180555555555551" footer="0.51180555555555551"/>
  <pageSetup paperSize="9" scale="80"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I51"/>
  <sheetViews>
    <sheetView workbookViewId="0"/>
  </sheetViews>
  <sheetFormatPr baseColWidth="10" defaultColWidth="10.7109375" defaultRowHeight="12.75" x14ac:dyDescent="0.2"/>
  <cols>
    <col min="1" max="1" width="4.42578125" customWidth="1"/>
    <col min="2" max="2" width="12.85546875" customWidth="1"/>
    <col min="4" max="4" width="13" customWidth="1"/>
    <col min="5" max="5" width="41.42578125" customWidth="1"/>
    <col min="6" max="6" width="30.28515625" customWidth="1"/>
    <col min="7" max="7" width="13.140625" customWidth="1"/>
    <col min="9" max="9" width="12.42578125" customWidth="1"/>
  </cols>
  <sheetData>
    <row r="1" spans="1:9" ht="15" customHeight="1" x14ac:dyDescent="0.3">
      <c r="A1" s="1"/>
      <c r="B1" s="2"/>
      <c r="C1" s="3"/>
      <c r="D1" s="4"/>
      <c r="E1" s="5"/>
      <c r="F1" s="207" t="s">
        <v>0</v>
      </c>
      <c r="G1" s="207"/>
    </row>
    <row r="2" spans="1:9" ht="18.75" x14ac:dyDescent="0.3">
      <c r="A2" s="7" t="s">
        <v>1</v>
      </c>
      <c r="B2" s="7"/>
      <c r="C2" s="3"/>
      <c r="D2" s="4"/>
      <c r="E2" s="5"/>
      <c r="F2" s="5"/>
      <c r="G2" s="8"/>
    </row>
    <row r="3" spans="1:9" ht="15" x14ac:dyDescent="0.3">
      <c r="A3" s="1"/>
      <c r="B3" s="2"/>
      <c r="C3" s="3"/>
      <c r="D3" s="4"/>
      <c r="E3" s="5"/>
      <c r="F3" s="5"/>
      <c r="G3" s="8"/>
    </row>
    <row r="4" spans="1:9" ht="15" x14ac:dyDescent="0.3">
      <c r="A4" s="1"/>
      <c r="B4" s="2"/>
      <c r="C4" s="3"/>
      <c r="D4" s="4"/>
      <c r="E4" s="5"/>
      <c r="F4" s="5"/>
      <c r="G4" s="8"/>
    </row>
    <row r="5" spans="1:9" ht="18" x14ac:dyDescent="0.25">
      <c r="A5" s="208" t="s">
        <v>307</v>
      </c>
      <c r="B5" s="208"/>
      <c r="C5" s="208"/>
      <c r="D5" s="208"/>
      <c r="E5" s="208"/>
      <c r="F5" s="208"/>
      <c r="G5" s="208"/>
    </row>
    <row r="6" spans="1:9" ht="15" x14ac:dyDescent="0.3">
      <c r="A6" s="1"/>
      <c r="B6" s="9"/>
      <c r="C6" s="9"/>
      <c r="D6" s="9"/>
      <c r="E6" s="9"/>
      <c r="F6" s="10"/>
      <c r="G6" s="11"/>
    </row>
    <row r="7" spans="1:9" x14ac:dyDescent="0.2">
      <c r="A7" s="12" t="s">
        <v>2</v>
      </c>
      <c r="B7" s="12" t="s">
        <v>3</v>
      </c>
      <c r="C7" s="13" t="s">
        <v>4</v>
      </c>
      <c r="D7" s="14" t="s">
        <v>5</v>
      </c>
      <c r="E7" s="13" t="s">
        <v>6</v>
      </c>
      <c r="F7" s="13" t="s">
        <v>7</v>
      </c>
      <c r="G7" s="13" t="s">
        <v>8</v>
      </c>
    </row>
    <row r="8" spans="1:9" s="1" customFormat="1" ht="30" x14ac:dyDescent="0.3">
      <c r="A8" s="15">
        <v>1</v>
      </c>
      <c r="B8" s="16">
        <v>40576</v>
      </c>
      <c r="C8" s="17" t="s">
        <v>308</v>
      </c>
      <c r="D8" s="18">
        <f>+B8+30</f>
        <v>40606</v>
      </c>
      <c r="E8" s="19" t="s">
        <v>309</v>
      </c>
      <c r="F8" s="20" t="s">
        <v>310</v>
      </c>
      <c r="G8" s="21">
        <v>249.9</v>
      </c>
    </row>
    <row r="9" spans="1:9" s="1" customFormat="1" ht="30" x14ac:dyDescent="0.3">
      <c r="A9" s="15">
        <v>2</v>
      </c>
      <c r="B9" s="16">
        <v>40576</v>
      </c>
      <c r="C9" s="17" t="s">
        <v>311</v>
      </c>
      <c r="D9" s="18">
        <f>+B9+30</f>
        <v>40606</v>
      </c>
      <c r="E9" s="19" t="s">
        <v>11</v>
      </c>
      <c r="F9" s="20" t="s">
        <v>12</v>
      </c>
      <c r="G9" s="21">
        <v>31.18</v>
      </c>
    </row>
    <row r="10" spans="1:9" s="1" customFormat="1" ht="15" x14ac:dyDescent="0.3">
      <c r="A10" s="15">
        <v>3</v>
      </c>
      <c r="B10" s="16">
        <v>40606</v>
      </c>
      <c r="C10" s="17" t="s">
        <v>312</v>
      </c>
      <c r="D10" s="18">
        <f>+B10</f>
        <v>40606</v>
      </c>
      <c r="E10" s="19" t="s">
        <v>313</v>
      </c>
      <c r="F10" s="20" t="s">
        <v>314</v>
      </c>
      <c r="G10" s="21">
        <v>36.770000000000003</v>
      </c>
      <c r="H10" s="1" t="s">
        <v>315</v>
      </c>
    </row>
    <row r="11" spans="1:9" s="1" customFormat="1" ht="30" x14ac:dyDescent="0.3">
      <c r="A11" s="15">
        <v>4</v>
      </c>
      <c r="B11" s="16">
        <v>40590</v>
      </c>
      <c r="C11" s="17" t="s">
        <v>316</v>
      </c>
      <c r="D11" s="18">
        <f>+B11+15</f>
        <v>40605</v>
      </c>
      <c r="E11" s="19" t="s">
        <v>17</v>
      </c>
      <c r="F11" s="20" t="s">
        <v>18</v>
      </c>
      <c r="G11" s="21">
        <v>373.6</v>
      </c>
    </row>
    <row r="12" spans="1:9" s="1" customFormat="1" ht="30" x14ac:dyDescent="0.3">
      <c r="A12" s="15">
        <v>5</v>
      </c>
      <c r="B12" s="16">
        <v>40584</v>
      </c>
      <c r="C12" s="17" t="s">
        <v>317</v>
      </c>
      <c r="D12" s="18">
        <f>+B12</f>
        <v>40584</v>
      </c>
      <c r="E12" s="19" t="s">
        <v>318</v>
      </c>
      <c r="F12" s="20" t="s">
        <v>319</v>
      </c>
      <c r="G12" s="21">
        <v>1338.75</v>
      </c>
    </row>
    <row r="13" spans="1:9" s="1" customFormat="1" ht="30" x14ac:dyDescent="0.3">
      <c r="A13" s="15">
        <v>6</v>
      </c>
      <c r="B13" s="16">
        <v>40535</v>
      </c>
      <c r="C13" s="17" t="s">
        <v>320</v>
      </c>
      <c r="D13" s="18">
        <f>+B13+30</f>
        <v>40565</v>
      </c>
      <c r="E13" s="19" t="s">
        <v>13</v>
      </c>
      <c r="F13" s="20" t="s">
        <v>321</v>
      </c>
      <c r="G13" s="21">
        <v>952</v>
      </c>
    </row>
    <row r="14" spans="1:9" ht="15" x14ac:dyDescent="0.2">
      <c r="A14" s="22"/>
      <c r="B14" s="22"/>
      <c r="C14" s="23"/>
      <c r="D14" s="24"/>
      <c r="E14" s="25"/>
      <c r="F14" s="26" t="s">
        <v>24</v>
      </c>
      <c r="G14" s="27">
        <f>SUM(G8:G13)</f>
        <v>2982.2</v>
      </c>
    </row>
    <row r="16" spans="1:9" s="1" customFormat="1" ht="15" x14ac:dyDescent="0.3">
      <c r="F16" s="5"/>
      <c r="G16" s="11"/>
      <c r="I16" s="28"/>
    </row>
    <row r="17" spans="1:9" s="1" customFormat="1" ht="15" customHeight="1" x14ac:dyDescent="0.3">
      <c r="A17" s="29"/>
      <c r="B17" s="30"/>
      <c r="C17" s="3"/>
      <c r="D17" s="30"/>
      <c r="E17" s="5"/>
      <c r="F17" s="207" t="s">
        <v>0</v>
      </c>
      <c r="G17" s="207"/>
      <c r="I17" s="28"/>
    </row>
    <row r="18" spans="1:9" s="1" customFormat="1" ht="18.75" x14ac:dyDescent="0.3">
      <c r="A18" s="31" t="s">
        <v>1</v>
      </c>
      <c r="B18" s="29"/>
      <c r="C18" s="3"/>
      <c r="D18" s="30"/>
      <c r="E18" s="5"/>
      <c r="F18" s="29"/>
      <c r="G18" s="29"/>
      <c r="I18" s="28"/>
    </row>
    <row r="19" spans="1:9" s="1" customFormat="1" ht="15" x14ac:dyDescent="0.3">
      <c r="A19" s="29"/>
      <c r="B19" s="30"/>
      <c r="C19" s="3"/>
      <c r="D19" s="30"/>
      <c r="E19" s="5"/>
      <c r="F19" s="5"/>
      <c r="G19" s="32"/>
      <c r="I19" s="28"/>
    </row>
    <row r="20" spans="1:9" s="1" customFormat="1" ht="15" x14ac:dyDescent="0.3">
      <c r="A20" s="29"/>
      <c r="B20" s="30"/>
      <c r="C20" s="3"/>
      <c r="D20" s="30"/>
      <c r="E20" s="5"/>
      <c r="F20" s="5"/>
      <c r="G20" s="32"/>
    </row>
    <row r="21" spans="1:9" s="1" customFormat="1" ht="18.75" x14ac:dyDescent="0.3">
      <c r="A21" s="208" t="s">
        <v>322</v>
      </c>
      <c r="B21" s="208"/>
      <c r="C21" s="208"/>
      <c r="D21" s="208"/>
      <c r="E21" s="208"/>
      <c r="F21" s="208"/>
      <c r="G21" s="208"/>
    </row>
    <row r="22" spans="1:9" s="1" customFormat="1" ht="15" x14ac:dyDescent="0.3">
      <c r="A22" s="29"/>
      <c r="B22" s="9"/>
      <c r="C22" s="9"/>
      <c r="D22" s="9"/>
      <c r="E22" s="9"/>
      <c r="F22" s="10"/>
      <c r="G22" s="11"/>
    </row>
    <row r="23" spans="1:9" s="1" customFormat="1" ht="15" x14ac:dyDescent="0.3">
      <c r="A23" s="12" t="s">
        <v>2</v>
      </c>
      <c r="B23" s="12" t="s">
        <v>3</v>
      </c>
      <c r="C23" s="13" t="s">
        <v>4</v>
      </c>
      <c r="D23" s="14" t="s">
        <v>25</v>
      </c>
      <c r="E23" s="13" t="s">
        <v>6</v>
      </c>
      <c r="F23" s="13" t="s">
        <v>7</v>
      </c>
      <c r="G23" s="13" t="s">
        <v>8</v>
      </c>
    </row>
    <row r="24" spans="1:9" s="1" customFormat="1" ht="30" x14ac:dyDescent="0.3">
      <c r="A24" s="15">
        <v>1</v>
      </c>
      <c r="B24" s="16">
        <v>40589</v>
      </c>
      <c r="C24" s="33" t="s">
        <v>323</v>
      </c>
      <c r="D24" s="18" t="s">
        <v>324</v>
      </c>
      <c r="E24" s="19" t="s">
        <v>325</v>
      </c>
      <c r="F24" s="20" t="s">
        <v>326</v>
      </c>
      <c r="G24" s="21">
        <f>12495-1190</f>
        <v>11305</v>
      </c>
      <c r="H24" s="34" t="s">
        <v>27</v>
      </c>
    </row>
    <row r="25" spans="1:9" s="1" customFormat="1" ht="30" x14ac:dyDescent="0.3">
      <c r="A25" s="15">
        <v>2</v>
      </c>
      <c r="B25" s="16">
        <v>40606</v>
      </c>
      <c r="C25" s="33" t="s">
        <v>327</v>
      </c>
      <c r="D25" s="18" t="s">
        <v>328</v>
      </c>
      <c r="E25" s="19" t="s">
        <v>28</v>
      </c>
      <c r="F25" s="20" t="s">
        <v>329</v>
      </c>
      <c r="G25" s="21">
        <f>6902-3391.5</f>
        <v>3510.5</v>
      </c>
      <c r="H25" s="34" t="s">
        <v>27</v>
      </c>
    </row>
    <row r="26" spans="1:9" s="1" customFormat="1" ht="30" x14ac:dyDescent="0.3">
      <c r="A26" s="15">
        <v>3</v>
      </c>
      <c r="B26" s="16">
        <v>40606</v>
      </c>
      <c r="C26" s="33" t="s">
        <v>29</v>
      </c>
      <c r="D26" s="18" t="s">
        <v>330</v>
      </c>
      <c r="E26" s="19" t="s">
        <v>331</v>
      </c>
      <c r="F26" s="20" t="s">
        <v>332</v>
      </c>
      <c r="G26" s="21">
        <v>844.21</v>
      </c>
      <c r="H26" s="34"/>
    </row>
    <row r="27" spans="1:9" s="1" customFormat="1" ht="30" x14ac:dyDescent="0.3">
      <c r="A27" s="15">
        <v>4</v>
      </c>
      <c r="B27" s="16">
        <v>40606</v>
      </c>
      <c r="C27" s="33" t="s">
        <v>29</v>
      </c>
      <c r="D27" s="18" t="s">
        <v>333</v>
      </c>
      <c r="E27" s="19" t="s">
        <v>124</v>
      </c>
      <c r="F27" s="20" t="s">
        <v>332</v>
      </c>
      <c r="G27" s="21">
        <v>830.22</v>
      </c>
      <c r="H27" s="34"/>
    </row>
    <row r="28" spans="1:9" s="1" customFormat="1" ht="30" x14ac:dyDescent="0.3">
      <c r="A28" s="15">
        <v>5</v>
      </c>
      <c r="B28" s="16">
        <v>40606</v>
      </c>
      <c r="C28" s="33" t="s">
        <v>29</v>
      </c>
      <c r="D28" s="18" t="s">
        <v>334</v>
      </c>
      <c r="E28" s="19" t="s">
        <v>335</v>
      </c>
      <c r="F28" s="20" t="s">
        <v>332</v>
      </c>
      <c r="G28" s="21">
        <v>983.81</v>
      </c>
      <c r="H28" s="34"/>
    </row>
    <row r="29" spans="1:9" s="1" customFormat="1" ht="30" x14ac:dyDescent="0.3">
      <c r="A29" s="15">
        <v>6</v>
      </c>
      <c r="B29" s="16">
        <v>40606</v>
      </c>
      <c r="C29" s="33" t="s">
        <v>29</v>
      </c>
      <c r="D29" s="18" t="s">
        <v>336</v>
      </c>
      <c r="E29" s="19" t="s">
        <v>337</v>
      </c>
      <c r="F29" s="20" t="s">
        <v>332</v>
      </c>
      <c r="G29" s="21">
        <v>783.09</v>
      </c>
      <c r="H29" s="34"/>
    </row>
    <row r="30" spans="1:9" s="1" customFormat="1" ht="30" x14ac:dyDescent="0.3">
      <c r="A30" s="15">
        <v>7</v>
      </c>
      <c r="B30" s="16">
        <v>40606</v>
      </c>
      <c r="C30" s="33" t="s">
        <v>29</v>
      </c>
      <c r="D30" s="18" t="s">
        <v>338</v>
      </c>
      <c r="E30" s="19" t="s">
        <v>339</v>
      </c>
      <c r="F30" s="20" t="s">
        <v>332</v>
      </c>
      <c r="G30" s="21">
        <v>965.82</v>
      </c>
      <c r="H30" s="34"/>
    </row>
    <row r="31" spans="1:9" s="1" customFormat="1" ht="30" x14ac:dyDescent="0.3">
      <c r="A31" s="15">
        <v>8</v>
      </c>
      <c r="B31" s="16">
        <v>40606</v>
      </c>
      <c r="C31" s="33" t="s">
        <v>29</v>
      </c>
      <c r="D31" s="18" t="s">
        <v>340</v>
      </c>
      <c r="E31" s="19" t="s">
        <v>341</v>
      </c>
      <c r="F31" s="20" t="s">
        <v>332</v>
      </c>
      <c r="G31" s="21">
        <v>992.01</v>
      </c>
      <c r="H31" s="34"/>
    </row>
    <row r="32" spans="1:9" s="1" customFormat="1" ht="15" x14ac:dyDescent="0.3">
      <c r="A32" s="29"/>
      <c r="B32" s="30"/>
      <c r="C32" s="3"/>
      <c r="D32" s="30"/>
      <c r="E32" s="5"/>
      <c r="F32" s="26" t="s">
        <v>24</v>
      </c>
      <c r="G32" s="27">
        <f>SUM(G24:G31)</f>
        <v>20214.66</v>
      </c>
    </row>
    <row r="33" spans="1:8" s="1" customFormat="1" ht="15" x14ac:dyDescent="0.3">
      <c r="F33" s="5"/>
      <c r="G33" s="11"/>
    </row>
    <row r="36" spans="1:8" x14ac:dyDescent="0.2">
      <c r="A36" s="211" t="s">
        <v>300</v>
      </c>
      <c r="B36" s="211"/>
      <c r="C36" s="211"/>
      <c r="D36" s="211"/>
      <c r="E36" s="211"/>
      <c r="F36" s="211"/>
      <c r="G36" s="211"/>
    </row>
    <row r="37" spans="1:8" x14ac:dyDescent="0.2">
      <c r="A37" s="211"/>
      <c r="B37" s="211"/>
      <c r="C37" s="211"/>
      <c r="D37" s="211"/>
      <c r="E37" s="211"/>
      <c r="F37" s="211"/>
      <c r="G37" s="211"/>
    </row>
    <row r="38" spans="1:8" x14ac:dyDescent="0.2">
      <c r="A38" s="211"/>
      <c r="B38" s="211"/>
      <c r="C38" s="211"/>
      <c r="D38" s="211"/>
      <c r="E38" s="211"/>
      <c r="F38" s="211"/>
      <c r="G38" s="211"/>
    </row>
    <row r="42" spans="1:8" ht="18.75" x14ac:dyDescent="0.3">
      <c r="A42" s="31" t="s">
        <v>1</v>
      </c>
      <c r="B42" s="29"/>
      <c r="C42" s="37"/>
      <c r="D42" s="30"/>
      <c r="E42" s="5"/>
      <c r="F42" s="29"/>
      <c r="G42" s="29"/>
    </row>
    <row r="43" spans="1:8" ht="15" x14ac:dyDescent="0.3">
      <c r="A43" s="29"/>
      <c r="B43" s="30"/>
      <c r="C43" s="37"/>
      <c r="D43" s="30"/>
      <c r="E43" s="5"/>
      <c r="F43" s="5"/>
      <c r="G43" s="32"/>
    </row>
    <row r="44" spans="1:8" ht="15" x14ac:dyDescent="0.3">
      <c r="A44" s="29"/>
      <c r="B44" s="30"/>
      <c r="C44" s="37"/>
      <c r="D44" s="30"/>
      <c r="E44" s="5"/>
      <c r="F44" s="5"/>
      <c r="G44" s="32"/>
    </row>
    <row r="45" spans="1:8" ht="18" x14ac:dyDescent="0.25">
      <c r="A45" s="208" t="s">
        <v>322</v>
      </c>
      <c r="B45" s="208"/>
      <c r="C45" s="208"/>
      <c r="D45" s="208"/>
      <c r="E45" s="208"/>
      <c r="F45" s="208"/>
      <c r="G45" s="208"/>
    </row>
    <row r="46" spans="1:8" ht="15" x14ac:dyDescent="0.3">
      <c r="A46" s="29"/>
      <c r="B46" s="9"/>
      <c r="C46" s="9"/>
      <c r="D46" s="9"/>
      <c r="E46" s="9"/>
      <c r="F46" s="10"/>
      <c r="G46" s="11"/>
    </row>
    <row r="47" spans="1:8" x14ac:dyDescent="0.2">
      <c r="A47" s="12" t="s">
        <v>2</v>
      </c>
      <c r="B47" s="12" t="s">
        <v>3</v>
      </c>
      <c r="C47" s="13" t="s">
        <v>4</v>
      </c>
      <c r="D47" s="14" t="s">
        <v>25</v>
      </c>
      <c r="E47" s="13" t="s">
        <v>6</v>
      </c>
      <c r="F47" s="13" t="s">
        <v>7</v>
      </c>
      <c r="G47" s="13" t="s">
        <v>8</v>
      </c>
    </row>
    <row r="48" spans="1:8" ht="30" x14ac:dyDescent="0.3">
      <c r="A48" s="15">
        <v>1</v>
      </c>
      <c r="B48" s="16">
        <v>40599</v>
      </c>
      <c r="C48" s="33" t="s">
        <v>342</v>
      </c>
      <c r="D48" s="18" t="s">
        <v>343</v>
      </c>
      <c r="E48" s="19" t="s">
        <v>28</v>
      </c>
      <c r="F48" s="20" t="s">
        <v>344</v>
      </c>
      <c r="G48" s="21">
        <v>3000</v>
      </c>
      <c r="H48" t="s">
        <v>27</v>
      </c>
    </row>
    <row r="49" spans="1:8" ht="30" x14ac:dyDescent="0.3">
      <c r="A49" s="15">
        <v>2</v>
      </c>
      <c r="B49" s="16">
        <v>40599</v>
      </c>
      <c r="C49" s="33" t="s">
        <v>342</v>
      </c>
      <c r="D49" s="18" t="s">
        <v>345</v>
      </c>
      <c r="E49" s="19" t="s">
        <v>28</v>
      </c>
      <c r="F49" s="20" t="s">
        <v>344</v>
      </c>
      <c r="G49" s="21">
        <v>2652.5</v>
      </c>
      <c r="H49" t="s">
        <v>27</v>
      </c>
    </row>
    <row r="50" spans="1:8" ht="15" x14ac:dyDescent="0.3">
      <c r="A50" s="29"/>
      <c r="B50" s="30"/>
      <c r="C50" s="37"/>
      <c r="D50" s="30"/>
      <c r="E50" s="5"/>
      <c r="F50" s="26" t="s">
        <v>24</v>
      </c>
      <c r="G50" s="27">
        <f>SUM(G48:G49)</f>
        <v>5652.5</v>
      </c>
    </row>
    <row r="51" spans="1:8" ht="15" x14ac:dyDescent="0.3">
      <c r="A51" s="1"/>
      <c r="B51" s="1"/>
      <c r="C51" s="1"/>
      <c r="D51" s="1"/>
      <c r="E51" s="1"/>
      <c r="F51" s="5"/>
      <c r="G51" s="11"/>
    </row>
  </sheetData>
  <sheetProtection selectLockedCells="1" selectUnlockedCells="1"/>
  <mergeCells count="6">
    <mergeCell ref="A45:G45"/>
    <mergeCell ref="F1:G1"/>
    <mergeCell ref="A5:G5"/>
    <mergeCell ref="F17:G17"/>
    <mergeCell ref="A21:G21"/>
    <mergeCell ref="A36:G38"/>
  </mergeCells>
  <printOptions horizontalCentered="1"/>
  <pageMargins left="0" right="0" top="0.98402777777777772" bottom="0.98402777777777772" header="0.51180555555555551" footer="0.51180555555555551"/>
  <pageSetup paperSize="9" scale="80" firstPageNumber="0"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0"/>
  <dimension ref="A1:I35"/>
  <sheetViews>
    <sheetView workbookViewId="0">
      <selection activeCell="C12" sqref="C12"/>
    </sheetView>
  </sheetViews>
  <sheetFormatPr baseColWidth="10" defaultColWidth="10.7109375" defaultRowHeight="12.75" x14ac:dyDescent="0.2"/>
  <cols>
    <col min="1" max="1" width="4.42578125" customWidth="1"/>
    <col min="2" max="2" width="12.28515625" customWidth="1"/>
    <col min="3" max="3" width="13.7109375" customWidth="1"/>
    <col min="4" max="4" width="12.42578125" customWidth="1"/>
    <col min="5" max="5" width="29.42578125" customWidth="1"/>
    <col min="6" max="6" width="35.28515625" customWidth="1"/>
    <col min="7" max="7" width="13.28515625" customWidth="1"/>
  </cols>
  <sheetData>
    <row r="1" spans="1:7" ht="15" customHeight="1" x14ac:dyDescent="0.3">
      <c r="A1" s="1"/>
      <c r="B1" s="2"/>
      <c r="C1" s="3"/>
      <c r="D1" s="4"/>
      <c r="E1" s="5"/>
      <c r="F1" s="207" t="s">
        <v>0</v>
      </c>
      <c r="G1" s="207"/>
    </row>
    <row r="2" spans="1:7" ht="18.75" x14ac:dyDescent="0.3">
      <c r="A2" s="7" t="s">
        <v>1</v>
      </c>
      <c r="B2" s="7"/>
      <c r="C2" s="3"/>
      <c r="D2" s="4"/>
      <c r="E2" s="5"/>
      <c r="F2" s="5"/>
      <c r="G2" s="8"/>
    </row>
    <row r="3" spans="1:7" ht="15" x14ac:dyDescent="0.3">
      <c r="A3" s="1"/>
      <c r="B3" s="2"/>
      <c r="C3" s="3"/>
      <c r="D3" s="4"/>
      <c r="E3" s="5"/>
      <c r="F3" s="5"/>
      <c r="G3" s="8"/>
    </row>
    <row r="4" spans="1:7" ht="15" x14ac:dyDescent="0.3">
      <c r="A4" s="1"/>
      <c r="B4" s="2"/>
      <c r="C4" s="3"/>
      <c r="D4" s="4"/>
      <c r="E4" s="5"/>
      <c r="F4" s="5"/>
      <c r="G4" s="8"/>
    </row>
    <row r="5" spans="1:7" ht="18" x14ac:dyDescent="0.25">
      <c r="A5" s="208" t="s">
        <v>2183</v>
      </c>
      <c r="B5" s="208"/>
      <c r="C5" s="208"/>
      <c r="D5" s="208"/>
      <c r="E5" s="208"/>
      <c r="F5" s="208"/>
      <c r="G5" s="208"/>
    </row>
    <row r="6" spans="1:7" ht="15" x14ac:dyDescent="0.3">
      <c r="A6" s="1"/>
      <c r="B6" s="9"/>
      <c r="C6" s="9"/>
      <c r="D6" s="9"/>
      <c r="E6" s="9"/>
      <c r="F6" s="10"/>
      <c r="G6" s="11"/>
    </row>
    <row r="7" spans="1:7" x14ac:dyDescent="0.2">
      <c r="A7" s="12" t="s">
        <v>2</v>
      </c>
      <c r="B7" s="12" t="s">
        <v>3</v>
      </c>
      <c r="C7" s="13" t="s">
        <v>4</v>
      </c>
      <c r="D7" s="14" t="s">
        <v>5</v>
      </c>
      <c r="E7" s="13" t="s">
        <v>6</v>
      </c>
      <c r="F7" s="13" t="s">
        <v>7</v>
      </c>
      <c r="G7" s="13" t="s">
        <v>8</v>
      </c>
    </row>
    <row r="8" spans="1:7" ht="15" x14ac:dyDescent="0.3">
      <c r="A8" s="15"/>
      <c r="B8" s="16"/>
      <c r="C8" s="33"/>
      <c r="D8" s="18"/>
      <c r="E8" s="19"/>
      <c r="F8" s="19"/>
      <c r="G8" s="21">
        <v>0</v>
      </c>
    </row>
    <row r="9" spans="1:7" ht="15" x14ac:dyDescent="0.2">
      <c r="A9" s="22"/>
      <c r="B9" s="22"/>
      <c r="C9" s="23"/>
      <c r="D9" s="24"/>
      <c r="E9" s="25"/>
      <c r="F9" s="26" t="s">
        <v>24</v>
      </c>
      <c r="G9" s="27">
        <f>+G8</f>
        <v>0</v>
      </c>
    </row>
    <row r="11" spans="1:7" x14ac:dyDescent="0.2">
      <c r="B11" s="35"/>
      <c r="D11" s="35"/>
    </row>
    <row r="13" spans="1:7" ht="12.75" customHeight="1" x14ac:dyDescent="0.2">
      <c r="F13" s="207" t="s">
        <v>0</v>
      </c>
      <c r="G13" s="207"/>
    </row>
    <row r="14" spans="1:7" ht="18.75" x14ac:dyDescent="0.3">
      <c r="A14" s="31" t="s">
        <v>1</v>
      </c>
      <c r="B14" s="29"/>
      <c r="C14" s="37"/>
      <c r="D14" s="30"/>
      <c r="E14" s="5"/>
      <c r="F14" s="29"/>
      <c r="G14" s="29"/>
    </row>
    <row r="15" spans="1:7" ht="15" x14ac:dyDescent="0.3">
      <c r="A15" s="29"/>
      <c r="B15" s="30"/>
      <c r="C15" s="37"/>
      <c r="D15" s="30"/>
      <c r="E15" s="5"/>
      <c r="F15" s="5"/>
      <c r="G15" s="32"/>
    </row>
    <row r="16" spans="1:7" ht="18" x14ac:dyDescent="0.25">
      <c r="A16" s="208" t="s">
        <v>2184</v>
      </c>
      <c r="B16" s="208"/>
      <c r="C16" s="208"/>
      <c r="D16" s="208"/>
      <c r="E16" s="208"/>
      <c r="F16" s="208"/>
      <c r="G16" s="208"/>
    </row>
    <row r="19" spans="1:8" x14ac:dyDescent="0.2">
      <c r="A19" s="12" t="s">
        <v>2</v>
      </c>
      <c r="B19" s="12" t="s">
        <v>3</v>
      </c>
      <c r="C19" s="13" t="s">
        <v>4</v>
      </c>
      <c r="D19" s="14" t="s">
        <v>25</v>
      </c>
      <c r="E19" s="13" t="s">
        <v>6</v>
      </c>
      <c r="F19" s="13" t="s">
        <v>7</v>
      </c>
      <c r="G19" s="13" t="s">
        <v>8</v>
      </c>
    </row>
    <row r="20" spans="1:8" ht="45" x14ac:dyDescent="0.3">
      <c r="A20" s="15">
        <v>1</v>
      </c>
      <c r="B20" s="16">
        <v>40892</v>
      </c>
      <c r="C20" s="33" t="s">
        <v>2185</v>
      </c>
      <c r="D20" s="18" t="s">
        <v>2186</v>
      </c>
      <c r="E20" s="19" t="s">
        <v>1585</v>
      </c>
      <c r="F20" s="19" t="s">
        <v>1930</v>
      </c>
      <c r="G20" s="21">
        <f>3610.8-(3610.8*0.12)</f>
        <v>3177.5040000000004</v>
      </c>
      <c r="H20" t="s">
        <v>27</v>
      </c>
    </row>
    <row r="21" spans="1:8" ht="30" x14ac:dyDescent="0.3">
      <c r="A21" s="15">
        <v>2</v>
      </c>
      <c r="B21" s="16">
        <v>40960</v>
      </c>
      <c r="C21" s="33" t="s">
        <v>2187</v>
      </c>
      <c r="D21" s="18" t="s">
        <v>2188</v>
      </c>
      <c r="E21" s="19" t="s">
        <v>2006</v>
      </c>
      <c r="F21" s="19" t="s">
        <v>1449</v>
      </c>
      <c r="G21" s="21">
        <v>16266.65</v>
      </c>
      <c r="H21" t="s">
        <v>27</v>
      </c>
    </row>
    <row r="22" spans="1:8" ht="30" x14ac:dyDescent="0.3">
      <c r="A22" s="15">
        <v>3</v>
      </c>
      <c r="B22" s="16">
        <v>40960</v>
      </c>
      <c r="C22" s="33" t="s">
        <v>2189</v>
      </c>
      <c r="D22" s="18" t="s">
        <v>2190</v>
      </c>
      <c r="E22" s="19" t="s">
        <v>2006</v>
      </c>
      <c r="F22" s="19" t="s">
        <v>1449</v>
      </c>
      <c r="G22" s="21">
        <v>870.93</v>
      </c>
      <c r="H22" t="s">
        <v>27</v>
      </c>
    </row>
    <row r="23" spans="1:8" ht="15" x14ac:dyDescent="0.2">
      <c r="A23" s="22"/>
      <c r="B23" s="22"/>
      <c r="C23" s="23"/>
      <c r="D23" s="24"/>
      <c r="E23" s="25"/>
      <c r="F23" s="26" t="s">
        <v>24</v>
      </c>
      <c r="G23" s="27">
        <f>SUM(G20:G22)</f>
        <v>20315.083999999999</v>
      </c>
    </row>
    <row r="27" spans="1:8" ht="12.75" customHeight="1" x14ac:dyDescent="0.2">
      <c r="F27" s="207" t="s">
        <v>0</v>
      </c>
      <c r="G27" s="207"/>
    </row>
    <row r="28" spans="1:8" ht="18.75" x14ac:dyDescent="0.3">
      <c r="A28" s="31" t="s">
        <v>1</v>
      </c>
      <c r="B28" s="29"/>
      <c r="C28" s="37"/>
      <c r="D28" s="30"/>
      <c r="E28" s="5"/>
      <c r="F28" s="29"/>
      <c r="G28" s="29"/>
    </row>
    <row r="29" spans="1:8" ht="15" x14ac:dyDescent="0.3">
      <c r="A29" s="29"/>
      <c r="B29" s="30"/>
      <c r="C29" s="37"/>
      <c r="D29" s="30"/>
      <c r="E29" s="5"/>
      <c r="F29" s="5"/>
      <c r="G29" s="32"/>
    </row>
    <row r="30" spans="1:8" ht="18" x14ac:dyDescent="0.25">
      <c r="A30" s="208" t="s">
        <v>2191</v>
      </c>
      <c r="B30" s="208"/>
      <c r="C30" s="208"/>
      <c r="D30" s="208"/>
      <c r="E30" s="208"/>
      <c r="F30" s="208"/>
      <c r="G30" s="208"/>
    </row>
    <row r="33" spans="1:9" x14ac:dyDescent="0.2">
      <c r="A33" s="12" t="s">
        <v>2</v>
      </c>
      <c r="B33" s="12" t="s">
        <v>3</v>
      </c>
      <c r="C33" s="13" t="s">
        <v>4</v>
      </c>
      <c r="D33" s="14" t="s">
        <v>5</v>
      </c>
      <c r="E33" s="13" t="s">
        <v>6</v>
      </c>
      <c r="F33" s="13" t="s">
        <v>7</v>
      </c>
      <c r="G33" s="13" t="s">
        <v>8</v>
      </c>
    </row>
    <row r="34" spans="1:9" ht="15" x14ac:dyDescent="0.3">
      <c r="A34" s="15">
        <v>1</v>
      </c>
      <c r="B34" s="16">
        <v>40911</v>
      </c>
      <c r="C34" s="33" t="s">
        <v>2192</v>
      </c>
      <c r="D34" s="18">
        <v>40956</v>
      </c>
      <c r="E34" s="19" t="s">
        <v>523</v>
      </c>
      <c r="F34" s="19" t="s">
        <v>660</v>
      </c>
      <c r="G34" s="21">
        <v>1191.97</v>
      </c>
      <c r="H34" t="s">
        <v>2193</v>
      </c>
      <c r="I34" t="s">
        <v>27</v>
      </c>
    </row>
    <row r="35" spans="1:9" ht="15" x14ac:dyDescent="0.2">
      <c r="A35" s="22"/>
      <c r="B35" s="22"/>
      <c r="C35" s="23"/>
      <c r="D35" s="24"/>
      <c r="E35" s="25"/>
      <c r="F35" s="26" t="s">
        <v>24</v>
      </c>
      <c r="G35" s="27">
        <f>SUM(G34:G34)</f>
        <v>1191.97</v>
      </c>
    </row>
  </sheetData>
  <sheetProtection selectLockedCells="1" selectUnlockedCells="1"/>
  <mergeCells count="6">
    <mergeCell ref="A30:G30"/>
    <mergeCell ref="F1:G1"/>
    <mergeCell ref="A5:G5"/>
    <mergeCell ref="F13:G13"/>
    <mergeCell ref="A16:G16"/>
    <mergeCell ref="F27:G27"/>
  </mergeCells>
  <printOptions horizontalCentered="1"/>
  <pageMargins left="0" right="0" top="0.74791666666666667" bottom="0.74791666666666667" header="0.51180555555555551" footer="0.51180555555555551"/>
  <pageSetup paperSize="9" scale="90" firstPageNumber="0" orientation="portrait" horizontalDpi="300" verticalDpi="300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/>
  <dimension ref="A1:K51"/>
  <sheetViews>
    <sheetView workbookViewId="0">
      <selection activeCell="C12" sqref="C12"/>
    </sheetView>
  </sheetViews>
  <sheetFormatPr baseColWidth="10" defaultColWidth="10.7109375" defaultRowHeight="12.75" x14ac:dyDescent="0.2"/>
  <cols>
    <col min="1" max="1" width="5.140625" customWidth="1"/>
    <col min="2" max="2" width="13.5703125" customWidth="1"/>
    <col min="4" max="4" width="12.7109375" customWidth="1"/>
    <col min="5" max="5" width="22.28515625" customWidth="1"/>
    <col min="6" max="6" width="25.140625" customWidth="1"/>
    <col min="7" max="7" width="14.42578125" customWidth="1"/>
  </cols>
  <sheetData>
    <row r="1" spans="1:7" ht="15" customHeight="1" x14ac:dyDescent="0.3">
      <c r="A1" s="1"/>
      <c r="B1" s="2"/>
      <c r="C1" s="3"/>
      <c r="D1" s="4"/>
      <c r="E1" s="5"/>
      <c r="F1" s="207" t="s">
        <v>0</v>
      </c>
      <c r="G1" s="207"/>
    </row>
    <row r="2" spans="1:7" ht="18.75" x14ac:dyDescent="0.3">
      <c r="A2" s="7" t="s">
        <v>1</v>
      </c>
      <c r="B2" s="7"/>
      <c r="C2" s="3"/>
      <c r="D2" s="4"/>
      <c r="E2" s="5"/>
      <c r="F2" s="5"/>
      <c r="G2" s="8"/>
    </row>
    <row r="3" spans="1:7" ht="15" x14ac:dyDescent="0.3">
      <c r="A3" s="1"/>
      <c r="B3" s="2"/>
      <c r="C3" s="3"/>
      <c r="D3" s="4"/>
      <c r="E3" s="5"/>
      <c r="F3" s="5"/>
      <c r="G3" s="8"/>
    </row>
    <row r="4" spans="1:7" ht="15" x14ac:dyDescent="0.3">
      <c r="A4" s="1"/>
      <c r="B4" s="2"/>
      <c r="C4" s="3"/>
      <c r="D4" s="4"/>
      <c r="E4" s="5"/>
      <c r="F4" s="5"/>
      <c r="G4" s="8"/>
    </row>
    <row r="5" spans="1:7" ht="18" x14ac:dyDescent="0.25">
      <c r="A5" s="208" t="s">
        <v>2194</v>
      </c>
      <c r="B5" s="208"/>
      <c r="C5" s="208"/>
      <c r="D5" s="208"/>
      <c r="E5" s="208"/>
      <c r="F5" s="208"/>
      <c r="G5" s="208"/>
    </row>
    <row r="6" spans="1:7" ht="15" x14ac:dyDescent="0.3">
      <c r="A6" s="1"/>
      <c r="B6" s="9"/>
      <c r="C6" s="9"/>
      <c r="D6" s="9"/>
      <c r="E6" s="9"/>
      <c r="F6" s="10"/>
      <c r="G6" s="11"/>
    </row>
    <row r="7" spans="1:7" x14ac:dyDescent="0.2">
      <c r="A7" s="12" t="s">
        <v>2</v>
      </c>
      <c r="B7" s="12" t="s">
        <v>3</v>
      </c>
      <c r="C7" s="13" t="s">
        <v>4</v>
      </c>
      <c r="D7" s="14" t="s">
        <v>5</v>
      </c>
      <c r="E7" s="13" t="s">
        <v>6</v>
      </c>
      <c r="F7" s="13" t="s">
        <v>7</v>
      </c>
      <c r="G7" s="13" t="s">
        <v>32</v>
      </c>
    </row>
    <row r="8" spans="1:7" ht="45" x14ac:dyDescent="0.3">
      <c r="A8" s="15">
        <v>1</v>
      </c>
      <c r="B8" s="16">
        <v>40925</v>
      </c>
      <c r="C8" s="33" t="s">
        <v>2195</v>
      </c>
      <c r="D8" s="18">
        <f>+B8+30</f>
        <v>40955</v>
      </c>
      <c r="E8" s="19" t="s">
        <v>1458</v>
      </c>
      <c r="F8" s="19" t="s">
        <v>2028</v>
      </c>
      <c r="G8" s="21">
        <v>259.60000000000002</v>
      </c>
    </row>
    <row r="9" spans="1:7" ht="45" x14ac:dyDescent="0.3">
      <c r="A9" s="15">
        <v>2</v>
      </c>
      <c r="B9" s="16">
        <v>40925</v>
      </c>
      <c r="C9" s="33" t="s">
        <v>2196</v>
      </c>
      <c r="D9" s="18">
        <f>+B9+30</f>
        <v>40955</v>
      </c>
      <c r="E9" s="19" t="s">
        <v>1458</v>
      </c>
      <c r="F9" s="19" t="s">
        <v>2197</v>
      </c>
      <c r="G9" s="21">
        <v>5.9</v>
      </c>
    </row>
    <row r="10" spans="1:7" ht="30" x14ac:dyDescent="0.3">
      <c r="A10" s="15">
        <v>3</v>
      </c>
      <c r="B10" s="16">
        <v>40925</v>
      </c>
      <c r="C10" s="33" t="s">
        <v>2198</v>
      </c>
      <c r="D10" s="18">
        <f>+B10+30</f>
        <v>40955</v>
      </c>
      <c r="E10" s="19" t="s">
        <v>2199</v>
      </c>
      <c r="F10" s="19" t="s">
        <v>2200</v>
      </c>
      <c r="G10" s="21">
        <v>241.07</v>
      </c>
    </row>
    <row r="11" spans="1:7" ht="30" x14ac:dyDescent="0.3">
      <c r="A11" s="15">
        <v>4</v>
      </c>
      <c r="B11" s="16">
        <v>40924</v>
      </c>
      <c r="C11" s="33" t="s">
        <v>2201</v>
      </c>
      <c r="D11" s="18">
        <f>+B11+30</f>
        <v>40954</v>
      </c>
      <c r="E11" s="19" t="s">
        <v>349</v>
      </c>
      <c r="F11" s="19" t="s">
        <v>2202</v>
      </c>
      <c r="G11" s="21">
        <v>367.22</v>
      </c>
    </row>
    <row r="12" spans="1:7" ht="30" x14ac:dyDescent="0.3">
      <c r="A12" s="15">
        <v>5</v>
      </c>
      <c r="B12" s="16">
        <v>40927</v>
      </c>
      <c r="C12" s="33" t="s">
        <v>2203</v>
      </c>
      <c r="D12" s="18">
        <f>+B12+30</f>
        <v>40957</v>
      </c>
      <c r="E12" s="19" t="s">
        <v>349</v>
      </c>
      <c r="F12" s="19" t="s">
        <v>2202</v>
      </c>
      <c r="G12" s="21">
        <v>7344.32</v>
      </c>
    </row>
    <row r="13" spans="1:7" ht="30" x14ac:dyDescent="0.3">
      <c r="A13" s="15">
        <v>6</v>
      </c>
      <c r="B13" s="16">
        <v>40934</v>
      </c>
      <c r="C13" s="33" t="s">
        <v>2204</v>
      </c>
      <c r="D13" s="18">
        <f>+B13+15</f>
        <v>40949</v>
      </c>
      <c r="E13" s="19" t="s">
        <v>2205</v>
      </c>
      <c r="F13" s="19" t="s">
        <v>50</v>
      </c>
      <c r="G13" s="21">
        <v>305.8</v>
      </c>
    </row>
    <row r="14" spans="1:7" ht="30" x14ac:dyDescent="0.3">
      <c r="A14" s="15">
        <v>7</v>
      </c>
      <c r="B14" s="16">
        <v>40922</v>
      </c>
      <c r="C14" s="33" t="s">
        <v>2206</v>
      </c>
      <c r="D14" s="18">
        <f>+B14+15</f>
        <v>40937</v>
      </c>
      <c r="E14" s="19" t="s">
        <v>233</v>
      </c>
      <c r="F14" s="19" t="s">
        <v>1862</v>
      </c>
      <c r="G14" s="21">
        <f>138+2.76</f>
        <v>140.76</v>
      </c>
    </row>
    <row r="15" spans="1:7" ht="30" x14ac:dyDescent="0.3">
      <c r="A15" s="15">
        <v>8</v>
      </c>
      <c r="B15" s="16">
        <v>40917</v>
      </c>
      <c r="C15" s="33" t="s">
        <v>2207</v>
      </c>
      <c r="D15" s="18">
        <f>+B15+15</f>
        <v>40932</v>
      </c>
      <c r="E15" s="19" t="s">
        <v>233</v>
      </c>
      <c r="F15" s="19" t="s">
        <v>1748</v>
      </c>
      <c r="G15" s="21">
        <f>274.6+5.49</f>
        <v>280.09000000000003</v>
      </c>
    </row>
    <row r="16" spans="1:7" ht="30" x14ac:dyDescent="0.3">
      <c r="A16" s="15">
        <v>9</v>
      </c>
      <c r="B16" s="16">
        <v>40931</v>
      </c>
      <c r="C16" s="33" t="s">
        <v>2208</v>
      </c>
      <c r="D16" s="18">
        <f>+B16</f>
        <v>40931</v>
      </c>
      <c r="E16" s="19" t="s">
        <v>233</v>
      </c>
      <c r="F16" s="19" t="s">
        <v>2209</v>
      </c>
      <c r="G16" s="21">
        <v>-8.52</v>
      </c>
    </row>
    <row r="17" spans="1:8" ht="30" x14ac:dyDescent="0.3">
      <c r="A17" s="15">
        <v>10</v>
      </c>
      <c r="B17" s="16">
        <v>40932</v>
      </c>
      <c r="C17" s="33" t="s">
        <v>2210</v>
      </c>
      <c r="D17" s="18">
        <f>+B17+15</f>
        <v>40947</v>
      </c>
      <c r="E17" s="19" t="s">
        <v>2211</v>
      </c>
      <c r="F17" s="19" t="s">
        <v>1529</v>
      </c>
      <c r="G17" s="21">
        <f>1884.94-(1884.94*0.12)</f>
        <v>1658.7472</v>
      </c>
    </row>
    <row r="18" spans="1:8" ht="30" x14ac:dyDescent="0.3">
      <c r="A18" s="15">
        <v>11</v>
      </c>
      <c r="B18" s="16">
        <v>40934</v>
      </c>
      <c r="C18" s="33" t="s">
        <v>2212</v>
      </c>
      <c r="D18" s="18">
        <f>+B18+15</f>
        <v>40949</v>
      </c>
      <c r="E18" s="19" t="s">
        <v>2211</v>
      </c>
      <c r="F18" s="19" t="s">
        <v>1529</v>
      </c>
      <c r="G18" s="21">
        <f>1632.88-(1632.88*0.12)</f>
        <v>1436.9344000000001</v>
      </c>
      <c r="H18" s="44"/>
    </row>
    <row r="19" spans="1:8" ht="45" x14ac:dyDescent="0.3">
      <c r="A19" s="15">
        <v>12</v>
      </c>
      <c r="B19" s="16">
        <v>40940</v>
      </c>
      <c r="C19" s="33">
        <v>62546049</v>
      </c>
      <c r="D19" s="18">
        <v>40968</v>
      </c>
      <c r="E19" s="19" t="s">
        <v>393</v>
      </c>
      <c r="F19" s="19" t="s">
        <v>2213</v>
      </c>
      <c r="G19" s="21">
        <v>68.91</v>
      </c>
    </row>
    <row r="20" spans="1:8" ht="45" x14ac:dyDescent="0.3">
      <c r="A20" s="15">
        <v>13</v>
      </c>
      <c r="B20" s="16">
        <v>40940</v>
      </c>
      <c r="C20" s="33">
        <v>74479374</v>
      </c>
      <c r="D20" s="18">
        <v>40968</v>
      </c>
      <c r="E20" s="19" t="s">
        <v>67</v>
      </c>
      <c r="F20" s="19" t="s">
        <v>2214</v>
      </c>
      <c r="G20" s="21">
        <v>126.17</v>
      </c>
    </row>
    <row r="21" spans="1:8" ht="15" x14ac:dyDescent="0.2">
      <c r="A21" s="22"/>
      <c r="B21" s="22"/>
      <c r="C21" s="23"/>
      <c r="D21" s="24"/>
      <c r="E21" s="25"/>
      <c r="F21" s="26" t="s">
        <v>24</v>
      </c>
      <c r="G21" s="36">
        <f>SUM(G8:G20)</f>
        <v>12227.0016</v>
      </c>
    </row>
    <row r="24" spans="1:8" ht="12.75" customHeight="1" x14ac:dyDescent="0.2">
      <c r="F24" s="207" t="s">
        <v>0</v>
      </c>
      <c r="G24" s="207"/>
    </row>
    <row r="25" spans="1:8" ht="18.75" x14ac:dyDescent="0.3">
      <c r="A25" s="31" t="s">
        <v>1</v>
      </c>
      <c r="B25" s="29"/>
      <c r="C25" s="37"/>
      <c r="D25" s="30"/>
      <c r="E25" s="5"/>
      <c r="F25" s="29"/>
      <c r="G25" s="29"/>
    </row>
    <row r="26" spans="1:8" ht="15" x14ac:dyDescent="0.3">
      <c r="A26" s="29"/>
      <c r="B26" s="30"/>
      <c r="C26" s="37"/>
      <c r="D26" s="30"/>
      <c r="E26" s="5"/>
      <c r="F26" s="5"/>
      <c r="G26" s="32"/>
    </row>
    <row r="27" spans="1:8" ht="18" x14ac:dyDescent="0.25">
      <c r="A27" s="208" t="s">
        <v>2161</v>
      </c>
      <c r="B27" s="208"/>
      <c r="C27" s="208"/>
      <c r="D27" s="208"/>
      <c r="E27" s="208"/>
      <c r="F27" s="208"/>
      <c r="G27" s="208"/>
    </row>
    <row r="28" spans="1:8" ht="15" x14ac:dyDescent="0.3">
      <c r="A28" s="29"/>
      <c r="B28" s="9"/>
      <c r="C28" s="9"/>
      <c r="D28" s="9"/>
      <c r="E28" s="9"/>
      <c r="F28" s="10"/>
      <c r="G28" s="11"/>
    </row>
    <row r="29" spans="1:8" x14ac:dyDescent="0.2">
      <c r="A29" s="12" t="s">
        <v>2</v>
      </c>
      <c r="B29" s="12" t="s">
        <v>3</v>
      </c>
      <c r="C29" s="13" t="s">
        <v>4</v>
      </c>
      <c r="D29" s="14" t="s">
        <v>25</v>
      </c>
      <c r="E29" s="13" t="s">
        <v>6</v>
      </c>
      <c r="F29" s="13" t="s">
        <v>7</v>
      </c>
      <c r="G29" s="13" t="s">
        <v>32</v>
      </c>
    </row>
    <row r="30" spans="1:8" ht="30" x14ac:dyDescent="0.3">
      <c r="A30" s="15">
        <v>1</v>
      </c>
      <c r="B30" s="16">
        <v>40920</v>
      </c>
      <c r="C30" s="33" t="s">
        <v>1406</v>
      </c>
      <c r="D30" s="18" t="s">
        <v>2171</v>
      </c>
      <c r="E30" s="19" t="s">
        <v>2172</v>
      </c>
      <c r="F30" s="19" t="s">
        <v>446</v>
      </c>
      <c r="G30" s="21">
        <v>28718.34</v>
      </c>
      <c r="H30" s="59" t="s">
        <v>2173</v>
      </c>
    </row>
    <row r="31" spans="1:8" ht="60" x14ac:dyDescent="0.3">
      <c r="A31" s="15">
        <v>2</v>
      </c>
      <c r="B31" s="16">
        <v>40952</v>
      </c>
      <c r="C31" s="33" t="s">
        <v>29</v>
      </c>
      <c r="D31" s="18" t="s">
        <v>2215</v>
      </c>
      <c r="E31" s="19" t="s">
        <v>2216</v>
      </c>
      <c r="F31" s="19" t="s">
        <v>2217</v>
      </c>
      <c r="G31" s="21">
        <v>4963</v>
      </c>
      <c r="H31" s="59" t="s">
        <v>27</v>
      </c>
    </row>
    <row r="32" spans="1:8" ht="45" x14ac:dyDescent="0.3">
      <c r="A32" s="15">
        <v>3</v>
      </c>
      <c r="B32" s="16">
        <v>40952</v>
      </c>
      <c r="C32" s="33" t="s">
        <v>1406</v>
      </c>
      <c r="D32" s="18" t="s">
        <v>2218</v>
      </c>
      <c r="E32" s="19" t="s">
        <v>260</v>
      </c>
      <c r="F32" s="19" t="s">
        <v>2219</v>
      </c>
      <c r="G32" s="21">
        <v>1716.4</v>
      </c>
      <c r="H32" s="59" t="s">
        <v>27</v>
      </c>
    </row>
    <row r="33" spans="1:11" ht="30" x14ac:dyDescent="0.3">
      <c r="A33" s="15">
        <v>4</v>
      </c>
      <c r="B33" s="16">
        <v>40953</v>
      </c>
      <c r="C33" s="33" t="s">
        <v>1406</v>
      </c>
      <c r="D33" s="18" t="s">
        <v>2220</v>
      </c>
      <c r="E33" s="19" t="s">
        <v>2221</v>
      </c>
      <c r="F33" s="19" t="s">
        <v>446</v>
      </c>
      <c r="G33" s="21">
        <v>4629.2</v>
      </c>
      <c r="H33" s="59" t="s">
        <v>27</v>
      </c>
    </row>
    <row r="34" spans="1:11" ht="45" x14ac:dyDescent="0.3">
      <c r="A34" s="15">
        <v>5</v>
      </c>
      <c r="B34" s="16">
        <v>40953</v>
      </c>
      <c r="C34" s="33" t="s">
        <v>1406</v>
      </c>
      <c r="D34" s="18" t="s">
        <v>2222</v>
      </c>
      <c r="E34" s="19" t="s">
        <v>1588</v>
      </c>
      <c r="F34" s="19" t="s">
        <v>2223</v>
      </c>
      <c r="G34" s="21">
        <v>631.29999999999995</v>
      </c>
      <c r="H34" s="59" t="s">
        <v>27</v>
      </c>
    </row>
    <row r="35" spans="1:11" ht="15" x14ac:dyDescent="0.3">
      <c r="A35" s="29"/>
      <c r="B35" s="30"/>
      <c r="C35" s="37"/>
      <c r="D35" s="30"/>
      <c r="E35" s="5"/>
      <c r="F35" s="46" t="s">
        <v>24</v>
      </c>
      <c r="G35" s="36">
        <f>SUM(G30:G34)</f>
        <v>40658.239999999998</v>
      </c>
    </row>
    <row r="37" spans="1:11" x14ac:dyDescent="0.2">
      <c r="J37" s="45"/>
      <c r="K37" s="45"/>
    </row>
    <row r="39" spans="1:11" x14ac:dyDescent="0.2">
      <c r="A39" s="216" t="s">
        <v>1807</v>
      </c>
      <c r="B39" s="216"/>
      <c r="C39" s="216"/>
      <c r="D39" s="216"/>
      <c r="E39" s="216"/>
      <c r="F39" s="216"/>
      <c r="G39" s="216"/>
    </row>
    <row r="40" spans="1:11" x14ac:dyDescent="0.2">
      <c r="A40" s="216"/>
      <c r="B40" s="216"/>
      <c r="C40" s="216"/>
      <c r="D40" s="216"/>
      <c r="E40" s="216"/>
      <c r="F40" s="216"/>
      <c r="G40" s="216"/>
    </row>
    <row r="41" spans="1:11" x14ac:dyDescent="0.2">
      <c r="A41" s="216"/>
      <c r="B41" s="216"/>
      <c r="C41" s="216"/>
      <c r="D41" s="216"/>
      <c r="E41" s="216"/>
      <c r="F41" s="216"/>
      <c r="G41" s="216"/>
    </row>
    <row r="43" spans="1:11" ht="15" customHeight="1" x14ac:dyDescent="0.3">
      <c r="A43" s="1"/>
      <c r="B43" s="2"/>
      <c r="C43" s="3"/>
      <c r="D43" s="4"/>
      <c r="E43" s="5"/>
      <c r="F43" s="207" t="s">
        <v>0</v>
      </c>
      <c r="G43" s="207"/>
    </row>
    <row r="44" spans="1:11" ht="18.75" x14ac:dyDescent="0.3">
      <c r="A44" s="7" t="s">
        <v>1</v>
      </c>
      <c r="B44" s="7"/>
      <c r="C44" s="3"/>
      <c r="D44" s="4"/>
      <c r="E44" s="5"/>
      <c r="F44" s="5"/>
      <c r="G44" s="8"/>
    </row>
    <row r="45" spans="1:11" ht="15" x14ac:dyDescent="0.3">
      <c r="A45" s="1"/>
      <c r="B45" s="2"/>
      <c r="C45" s="3"/>
      <c r="D45" s="4"/>
      <c r="E45" s="5"/>
      <c r="F45" s="5"/>
      <c r="G45" s="8"/>
    </row>
    <row r="46" spans="1:11" ht="15" x14ac:dyDescent="0.3">
      <c r="A46" s="1"/>
      <c r="B46" s="2"/>
      <c r="C46" s="3"/>
      <c r="D46" s="4"/>
      <c r="E46" s="5"/>
      <c r="F46" s="5"/>
      <c r="G46" s="8"/>
    </row>
    <row r="47" spans="1:11" ht="18" x14ac:dyDescent="0.25">
      <c r="A47" s="208" t="s">
        <v>2194</v>
      </c>
      <c r="B47" s="208"/>
      <c r="C47" s="208"/>
      <c r="D47" s="208"/>
      <c r="E47" s="208"/>
      <c r="F47" s="208"/>
      <c r="G47" s="208"/>
    </row>
    <row r="48" spans="1:11" ht="15" x14ac:dyDescent="0.3">
      <c r="A48" s="1"/>
      <c r="B48" s="9"/>
      <c r="C48" s="9"/>
      <c r="D48" s="9"/>
      <c r="E48" s="9"/>
      <c r="F48" s="10"/>
      <c r="G48" s="11"/>
    </row>
    <row r="49" spans="1:7" x14ac:dyDescent="0.2">
      <c r="A49" s="12" t="s">
        <v>2</v>
      </c>
      <c r="B49" s="12" t="s">
        <v>3</v>
      </c>
      <c r="C49" s="13" t="s">
        <v>4</v>
      </c>
      <c r="D49" s="14" t="s">
        <v>5</v>
      </c>
      <c r="E49" s="13" t="s">
        <v>6</v>
      </c>
      <c r="F49" s="13" t="s">
        <v>7</v>
      </c>
      <c r="G49" s="13" t="s">
        <v>32</v>
      </c>
    </row>
    <row r="50" spans="1:7" ht="45" x14ac:dyDescent="0.3">
      <c r="A50" s="15">
        <v>1</v>
      </c>
      <c r="B50" s="16">
        <v>40921</v>
      </c>
      <c r="C50" s="33" t="s">
        <v>2224</v>
      </c>
      <c r="D50" s="18">
        <f>+B50+15</f>
        <v>40936</v>
      </c>
      <c r="E50" s="19" t="s">
        <v>1471</v>
      </c>
      <c r="F50" s="19" t="s">
        <v>2225</v>
      </c>
      <c r="G50" s="21">
        <v>236</v>
      </c>
    </row>
    <row r="51" spans="1:7" ht="15" x14ac:dyDescent="0.2">
      <c r="A51" s="22"/>
      <c r="B51" s="22"/>
      <c r="C51" s="23"/>
      <c r="D51" s="24"/>
      <c r="E51" s="25"/>
      <c r="F51" s="26" t="s">
        <v>24</v>
      </c>
      <c r="G51" s="36">
        <f>SUM(G50:G50)</f>
        <v>236</v>
      </c>
    </row>
  </sheetData>
  <sheetProtection selectLockedCells="1" selectUnlockedCells="1"/>
  <mergeCells count="7">
    <mergeCell ref="A47:G47"/>
    <mergeCell ref="F1:G1"/>
    <mergeCell ref="A5:G5"/>
    <mergeCell ref="F24:G24"/>
    <mergeCell ref="A27:G27"/>
    <mergeCell ref="A39:G41"/>
    <mergeCell ref="F43:G43"/>
  </mergeCells>
  <printOptions horizontalCentered="1"/>
  <pageMargins left="0" right="0" top="0.74791666666666667" bottom="0.74791666666666667" header="0.51180555555555551" footer="0.51180555555555551"/>
  <pageSetup paperSize="9" scale="80" firstPageNumber="0" orientation="portrait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2"/>
  <dimension ref="A1:H26"/>
  <sheetViews>
    <sheetView workbookViewId="0">
      <selection activeCell="C12" sqref="C12"/>
    </sheetView>
  </sheetViews>
  <sheetFormatPr baseColWidth="10" defaultColWidth="10.7109375" defaultRowHeight="12.75" x14ac:dyDescent="0.2"/>
  <cols>
    <col min="1" max="1" width="4.42578125" customWidth="1"/>
    <col min="2" max="2" width="12.28515625" customWidth="1"/>
    <col min="4" max="4" width="12.42578125" customWidth="1"/>
    <col min="5" max="5" width="25.5703125" customWidth="1"/>
    <col min="6" max="6" width="33.28515625" customWidth="1"/>
    <col min="7" max="7" width="13.140625" customWidth="1"/>
  </cols>
  <sheetData>
    <row r="1" spans="1:7" ht="15" customHeight="1" x14ac:dyDescent="0.3">
      <c r="A1" s="1"/>
      <c r="B1" s="2"/>
      <c r="C1" s="3"/>
      <c r="D1" s="4"/>
      <c r="E1" s="5"/>
      <c r="F1" s="207" t="s">
        <v>0</v>
      </c>
      <c r="G1" s="207"/>
    </row>
    <row r="2" spans="1:7" ht="18.75" x14ac:dyDescent="0.3">
      <c r="A2" s="7" t="s">
        <v>1</v>
      </c>
      <c r="B2" s="7"/>
      <c r="C2" s="3"/>
      <c r="D2" s="4"/>
      <c r="E2" s="5"/>
      <c r="F2" s="5"/>
      <c r="G2" s="8"/>
    </row>
    <row r="3" spans="1:7" ht="15" x14ac:dyDescent="0.3">
      <c r="A3" s="1"/>
      <c r="B3" s="2"/>
      <c r="C3" s="3"/>
      <c r="D3" s="4"/>
      <c r="E3" s="5"/>
      <c r="F3" s="5"/>
      <c r="G3" s="8"/>
    </row>
    <row r="4" spans="1:7" ht="15" x14ac:dyDescent="0.3">
      <c r="A4" s="1"/>
      <c r="B4" s="2"/>
      <c r="C4" s="3"/>
      <c r="D4" s="4"/>
      <c r="E4" s="5"/>
      <c r="F4" s="5"/>
      <c r="G4" s="8"/>
    </row>
    <row r="5" spans="1:7" ht="18" x14ac:dyDescent="0.25">
      <c r="A5" s="208" t="s">
        <v>2226</v>
      </c>
      <c r="B5" s="208"/>
      <c r="C5" s="208"/>
      <c r="D5" s="208"/>
      <c r="E5" s="208"/>
      <c r="F5" s="208"/>
      <c r="G5" s="208"/>
    </row>
    <row r="6" spans="1:7" ht="15" x14ac:dyDescent="0.3">
      <c r="A6" s="1"/>
      <c r="B6" s="9"/>
      <c r="C6" s="9"/>
      <c r="D6" s="9"/>
      <c r="E6" s="9"/>
      <c r="F6" s="10"/>
      <c r="G6" s="11"/>
    </row>
    <row r="7" spans="1:7" x14ac:dyDescent="0.2">
      <c r="A7" s="12" t="s">
        <v>2</v>
      </c>
      <c r="B7" s="12" t="s">
        <v>3</v>
      </c>
      <c r="C7" s="13" t="s">
        <v>4</v>
      </c>
      <c r="D7" s="14" t="s">
        <v>5</v>
      </c>
      <c r="E7" s="13" t="s">
        <v>6</v>
      </c>
      <c r="F7" s="13" t="s">
        <v>7</v>
      </c>
      <c r="G7" s="13" t="s">
        <v>8</v>
      </c>
    </row>
    <row r="8" spans="1:7" ht="45" x14ac:dyDescent="0.3">
      <c r="A8" s="15">
        <v>1</v>
      </c>
      <c r="B8" s="16">
        <v>40926</v>
      </c>
      <c r="C8" s="33" t="s">
        <v>2227</v>
      </c>
      <c r="D8" s="18">
        <f>+B8+30</f>
        <v>40956</v>
      </c>
      <c r="E8" s="19" t="s">
        <v>11</v>
      </c>
      <c r="F8" s="19" t="s">
        <v>2228</v>
      </c>
      <c r="G8" s="21">
        <v>65.84</v>
      </c>
    </row>
    <row r="9" spans="1:7" ht="45" x14ac:dyDescent="0.3">
      <c r="A9" s="15">
        <v>2</v>
      </c>
      <c r="B9" s="16">
        <v>40928</v>
      </c>
      <c r="C9" s="33" t="s">
        <v>2229</v>
      </c>
      <c r="D9" s="18">
        <f>+B9+30</f>
        <v>40958</v>
      </c>
      <c r="E9" s="19" t="s">
        <v>11</v>
      </c>
      <c r="F9" s="19" t="s">
        <v>2230</v>
      </c>
      <c r="G9" s="21">
        <v>21.48</v>
      </c>
    </row>
    <row r="10" spans="1:7" ht="15" x14ac:dyDescent="0.3">
      <c r="A10" s="15">
        <v>3</v>
      </c>
      <c r="B10" s="16">
        <v>40925</v>
      </c>
      <c r="C10" s="33" t="s">
        <v>2231</v>
      </c>
      <c r="D10" s="18">
        <f>+B10+30</f>
        <v>40955</v>
      </c>
      <c r="E10" s="19" t="s">
        <v>13</v>
      </c>
      <c r="F10" s="19" t="s">
        <v>2232</v>
      </c>
      <c r="G10" s="21">
        <v>265.5</v>
      </c>
    </row>
    <row r="11" spans="1:7" ht="45" x14ac:dyDescent="0.3">
      <c r="A11" s="15">
        <v>4</v>
      </c>
      <c r="B11" s="16">
        <v>40947</v>
      </c>
      <c r="C11" s="33" t="s">
        <v>2233</v>
      </c>
      <c r="D11" s="18">
        <f>+B11</f>
        <v>40947</v>
      </c>
      <c r="E11" s="19" t="s">
        <v>1217</v>
      </c>
      <c r="F11" s="19" t="s">
        <v>2234</v>
      </c>
      <c r="G11" s="21">
        <v>36.46</v>
      </c>
    </row>
    <row r="12" spans="1:7" ht="15" x14ac:dyDescent="0.2">
      <c r="A12" s="22"/>
      <c r="B12" s="22"/>
      <c r="C12" s="23"/>
      <c r="D12" s="24"/>
      <c r="E12" s="25"/>
      <c r="F12" s="26" t="s">
        <v>24</v>
      </c>
      <c r="G12" s="27">
        <f>SUM(G8:G11)</f>
        <v>389.28</v>
      </c>
    </row>
    <row r="13" spans="1:7" x14ac:dyDescent="0.2">
      <c r="B13" s="35"/>
      <c r="D13" s="35"/>
    </row>
    <row r="14" spans="1:7" x14ac:dyDescent="0.2">
      <c r="B14" s="35"/>
      <c r="D14" s="35"/>
    </row>
    <row r="16" spans="1:7" ht="15" x14ac:dyDescent="0.2">
      <c r="A16" s="22"/>
      <c r="B16" s="22"/>
      <c r="C16" s="23"/>
      <c r="D16" s="24"/>
      <c r="E16" s="25"/>
      <c r="F16" s="55"/>
      <c r="G16" s="68"/>
    </row>
    <row r="17" spans="1:8" ht="15" customHeight="1" x14ac:dyDescent="0.3">
      <c r="A17" s="29"/>
      <c r="B17" s="30"/>
      <c r="C17" s="37"/>
      <c r="D17" s="30"/>
      <c r="E17" s="5"/>
      <c r="F17" s="207" t="s">
        <v>0</v>
      </c>
      <c r="G17" s="207"/>
    </row>
    <row r="18" spans="1:8" ht="18.75" x14ac:dyDescent="0.3">
      <c r="A18" s="31" t="s">
        <v>1</v>
      </c>
      <c r="B18" s="29"/>
      <c r="C18" s="37"/>
      <c r="D18" s="30"/>
      <c r="E18" s="5"/>
      <c r="F18" s="29"/>
      <c r="G18" s="29"/>
    </row>
    <row r="19" spans="1:8" ht="15" x14ac:dyDescent="0.3">
      <c r="A19" s="29"/>
      <c r="B19" s="30"/>
      <c r="C19" s="37"/>
      <c r="D19" s="30"/>
      <c r="E19" s="5"/>
      <c r="F19" s="5"/>
      <c r="G19" s="32"/>
    </row>
    <row r="20" spans="1:8" ht="15" x14ac:dyDescent="0.3">
      <c r="A20" s="29"/>
      <c r="B20" s="30"/>
      <c r="C20" s="37"/>
      <c r="D20" s="30"/>
      <c r="E20" s="5"/>
      <c r="F20" s="5"/>
      <c r="G20" s="32"/>
    </row>
    <row r="21" spans="1:8" ht="18" x14ac:dyDescent="0.25">
      <c r="A21" s="208" t="s">
        <v>2235</v>
      </c>
      <c r="B21" s="208"/>
      <c r="C21" s="208"/>
      <c r="D21" s="208"/>
      <c r="E21" s="208"/>
      <c r="F21" s="208"/>
      <c r="G21" s="208"/>
    </row>
    <row r="22" spans="1:8" ht="15" x14ac:dyDescent="0.3">
      <c r="A22" s="29"/>
      <c r="B22" s="9"/>
      <c r="C22" s="9"/>
      <c r="D22" s="9"/>
      <c r="E22" s="9"/>
      <c r="F22" s="10"/>
      <c r="G22" s="11"/>
    </row>
    <row r="23" spans="1:8" x14ac:dyDescent="0.2">
      <c r="A23" s="12" t="s">
        <v>2</v>
      </c>
      <c r="B23" s="12" t="s">
        <v>3</v>
      </c>
      <c r="C23" s="13" t="s">
        <v>4</v>
      </c>
      <c r="D23" s="14" t="s">
        <v>25</v>
      </c>
      <c r="E23" s="13" t="s">
        <v>6</v>
      </c>
      <c r="F23" s="13" t="s">
        <v>7</v>
      </c>
      <c r="G23" s="13" t="s">
        <v>8</v>
      </c>
    </row>
    <row r="24" spans="1:8" ht="45" x14ac:dyDescent="0.3">
      <c r="A24" s="15">
        <v>1</v>
      </c>
      <c r="B24" s="16">
        <v>40954</v>
      </c>
      <c r="C24" s="33" t="s">
        <v>2236</v>
      </c>
      <c r="D24" s="18" t="s">
        <v>2237</v>
      </c>
      <c r="E24" s="19" t="s">
        <v>1217</v>
      </c>
      <c r="F24" s="19" t="s">
        <v>2238</v>
      </c>
      <c r="G24" s="21">
        <v>208.79</v>
      </c>
      <c r="H24" s="35" t="s">
        <v>27</v>
      </c>
    </row>
    <row r="25" spans="1:8" ht="60" x14ac:dyDescent="0.3">
      <c r="A25" s="15">
        <v>2</v>
      </c>
      <c r="B25" s="16">
        <v>40954</v>
      </c>
      <c r="C25" s="33" t="s">
        <v>2239</v>
      </c>
      <c r="D25" s="18" t="s">
        <v>2240</v>
      </c>
      <c r="E25" s="19" t="s">
        <v>1217</v>
      </c>
      <c r="F25" s="19" t="s">
        <v>2241</v>
      </c>
      <c r="G25" s="21">
        <v>841.62</v>
      </c>
      <c r="H25" s="35" t="s">
        <v>27</v>
      </c>
    </row>
    <row r="26" spans="1:8" ht="15" x14ac:dyDescent="0.3">
      <c r="A26" s="29"/>
      <c r="B26" s="30"/>
      <c r="C26" s="37"/>
      <c r="D26" s="30"/>
      <c r="E26" s="5"/>
      <c r="F26" s="46" t="s">
        <v>24</v>
      </c>
      <c r="G26" s="103">
        <f>SUM(G24:G25)</f>
        <v>1050.4100000000001</v>
      </c>
    </row>
  </sheetData>
  <sheetProtection selectLockedCells="1" selectUnlockedCells="1"/>
  <mergeCells count="4">
    <mergeCell ref="F1:G1"/>
    <mergeCell ref="A5:G5"/>
    <mergeCell ref="F17:G17"/>
    <mergeCell ref="A21:G21"/>
  </mergeCells>
  <printOptions horizontalCentered="1"/>
  <pageMargins left="0" right="0" top="0.74791666666666667" bottom="0.74791666666666667" header="0.51180555555555551" footer="0.51180555555555551"/>
  <pageSetup paperSize="9" scale="80" firstPageNumber="0" orientation="portrait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3"/>
  <dimension ref="A1:P60"/>
  <sheetViews>
    <sheetView topLeftCell="A49" zoomScale="78" zoomScaleNormal="78" workbookViewId="0">
      <selection activeCell="A17" sqref="A17"/>
    </sheetView>
  </sheetViews>
  <sheetFormatPr baseColWidth="10" defaultColWidth="10.7109375" defaultRowHeight="12.75" x14ac:dyDescent="0.2"/>
  <cols>
    <col min="1" max="1" width="5.140625" customWidth="1"/>
    <col min="2" max="2" width="13.5703125" customWidth="1"/>
    <col min="3" max="3" width="14.42578125" customWidth="1"/>
    <col min="4" max="4" width="12.7109375" customWidth="1"/>
    <col min="5" max="5" width="25.140625" customWidth="1"/>
    <col min="6" max="6" width="30.42578125" customWidth="1"/>
    <col min="7" max="7" width="14.140625" customWidth="1"/>
  </cols>
  <sheetData>
    <row r="1" spans="1:7" ht="15" customHeight="1" x14ac:dyDescent="0.3">
      <c r="A1" s="1"/>
      <c r="B1" s="2"/>
      <c r="C1" s="3"/>
      <c r="D1" s="4"/>
      <c r="E1" s="5"/>
      <c r="F1" s="207" t="s">
        <v>0</v>
      </c>
      <c r="G1" s="207"/>
    </row>
    <row r="2" spans="1:7" ht="18.75" x14ac:dyDescent="0.3">
      <c r="A2" s="7" t="s">
        <v>1</v>
      </c>
      <c r="B2" s="7"/>
      <c r="C2" s="3"/>
      <c r="D2" s="4"/>
      <c r="E2" s="5"/>
      <c r="F2" s="5"/>
      <c r="G2" s="8"/>
    </row>
    <row r="3" spans="1:7" ht="15" x14ac:dyDescent="0.3">
      <c r="A3" s="1"/>
      <c r="B3" s="2"/>
      <c r="C3" s="3"/>
      <c r="D3" s="4"/>
      <c r="E3" s="5"/>
      <c r="F3" s="5"/>
      <c r="G3" s="8"/>
    </row>
    <row r="4" spans="1:7" ht="15" x14ac:dyDescent="0.3">
      <c r="A4" s="1"/>
      <c r="B4" s="2"/>
      <c r="C4" s="3"/>
      <c r="D4" s="4"/>
      <c r="E4" s="5"/>
      <c r="F4" s="5"/>
      <c r="G4" s="8"/>
    </row>
    <row r="5" spans="1:7" ht="18" x14ac:dyDescent="0.25">
      <c r="A5" s="208" t="s">
        <v>2242</v>
      </c>
      <c r="B5" s="208"/>
      <c r="C5" s="208"/>
      <c r="D5" s="208"/>
      <c r="E5" s="208"/>
      <c r="F5" s="208"/>
      <c r="G5" s="208"/>
    </row>
    <row r="6" spans="1:7" ht="15" x14ac:dyDescent="0.3">
      <c r="A6" s="1"/>
      <c r="B6" s="9"/>
      <c r="C6" s="9"/>
      <c r="D6" s="9"/>
      <c r="E6" s="9"/>
      <c r="F6" s="10"/>
      <c r="G6" s="11"/>
    </row>
    <row r="7" spans="1:7" x14ac:dyDescent="0.2">
      <c r="A7" s="12" t="s">
        <v>2</v>
      </c>
      <c r="B7" s="12" t="s">
        <v>3</v>
      </c>
      <c r="C7" s="13" t="s">
        <v>4</v>
      </c>
      <c r="D7" s="14" t="s">
        <v>5</v>
      </c>
      <c r="E7" s="13" t="s">
        <v>6</v>
      </c>
      <c r="F7" s="13" t="s">
        <v>7</v>
      </c>
      <c r="G7" s="13" t="s">
        <v>32</v>
      </c>
    </row>
    <row r="8" spans="1:7" ht="30" x14ac:dyDescent="0.3">
      <c r="A8" s="15">
        <v>1</v>
      </c>
      <c r="B8" s="16">
        <v>40939</v>
      </c>
      <c r="C8" s="33" t="s">
        <v>2243</v>
      </c>
      <c r="D8" s="18">
        <f t="shared" ref="D8:D19" si="0">+B8+15</f>
        <v>40954</v>
      </c>
      <c r="E8" s="19" t="s">
        <v>1858</v>
      </c>
      <c r="F8" s="19" t="s">
        <v>2244</v>
      </c>
      <c r="G8" s="21">
        <v>1899</v>
      </c>
    </row>
    <row r="9" spans="1:7" ht="32.25" customHeight="1" x14ac:dyDescent="0.3">
      <c r="A9" s="15">
        <v>2</v>
      </c>
      <c r="B9" s="16">
        <v>40939</v>
      </c>
      <c r="C9" s="33" t="s">
        <v>2245</v>
      </c>
      <c r="D9" s="18">
        <f t="shared" si="0"/>
        <v>40954</v>
      </c>
      <c r="E9" s="19" t="s">
        <v>233</v>
      </c>
      <c r="F9" s="19" t="s">
        <v>1862</v>
      </c>
      <c r="G9" s="21">
        <f>138+2.76</f>
        <v>140.76</v>
      </c>
    </row>
    <row r="10" spans="1:7" ht="32.25" customHeight="1" x14ac:dyDescent="0.3">
      <c r="A10" s="15">
        <v>3</v>
      </c>
      <c r="B10" s="16">
        <v>40934</v>
      </c>
      <c r="C10" s="33" t="s">
        <v>2246</v>
      </c>
      <c r="D10" s="18">
        <f t="shared" si="0"/>
        <v>40949</v>
      </c>
      <c r="E10" s="19" t="s">
        <v>233</v>
      </c>
      <c r="F10" s="19" t="s">
        <v>1862</v>
      </c>
      <c r="G10" s="21">
        <f>138+2.76</f>
        <v>140.76</v>
      </c>
    </row>
    <row r="11" spans="1:7" ht="32.25" customHeight="1" x14ac:dyDescent="0.3">
      <c r="A11" s="15">
        <v>4</v>
      </c>
      <c r="B11" s="16">
        <v>40929</v>
      </c>
      <c r="C11" s="33" t="s">
        <v>2247</v>
      </c>
      <c r="D11" s="18">
        <f t="shared" si="0"/>
        <v>40944</v>
      </c>
      <c r="E11" s="19" t="s">
        <v>233</v>
      </c>
      <c r="F11" s="19" t="s">
        <v>1862</v>
      </c>
      <c r="G11" s="21">
        <f>138+2.76</f>
        <v>140.76</v>
      </c>
    </row>
    <row r="12" spans="1:7" ht="32.25" customHeight="1" x14ac:dyDescent="0.3">
      <c r="A12" s="15">
        <v>5</v>
      </c>
      <c r="B12" s="16">
        <v>40927</v>
      </c>
      <c r="C12" s="33" t="s">
        <v>2248</v>
      </c>
      <c r="D12" s="18">
        <f t="shared" si="0"/>
        <v>40942</v>
      </c>
      <c r="E12" s="19" t="s">
        <v>233</v>
      </c>
      <c r="F12" s="19" t="s">
        <v>1862</v>
      </c>
      <c r="G12" s="21">
        <f>138+2.76</f>
        <v>140.76</v>
      </c>
    </row>
    <row r="13" spans="1:7" ht="32.25" customHeight="1" x14ac:dyDescent="0.3">
      <c r="A13" s="15">
        <v>6</v>
      </c>
      <c r="B13" s="16">
        <v>40938</v>
      </c>
      <c r="C13" s="33" t="s">
        <v>2249</v>
      </c>
      <c r="D13" s="18">
        <f t="shared" si="0"/>
        <v>40953</v>
      </c>
      <c r="E13" s="19" t="s">
        <v>563</v>
      </c>
      <c r="F13" s="19" t="s">
        <v>2250</v>
      </c>
      <c r="G13" s="21">
        <v>118</v>
      </c>
    </row>
    <row r="14" spans="1:7" ht="30" x14ac:dyDescent="0.3">
      <c r="A14" s="15">
        <v>7</v>
      </c>
      <c r="B14" s="16">
        <v>40938</v>
      </c>
      <c r="C14" s="33" t="s">
        <v>2251</v>
      </c>
      <c r="D14" s="18">
        <f t="shared" si="0"/>
        <v>40953</v>
      </c>
      <c r="E14" s="19" t="s">
        <v>563</v>
      </c>
      <c r="F14" s="19" t="s">
        <v>2252</v>
      </c>
      <c r="G14" s="21">
        <v>56.64</v>
      </c>
    </row>
    <row r="15" spans="1:7" ht="30" x14ac:dyDescent="0.3">
      <c r="A15" s="15">
        <v>8</v>
      </c>
      <c r="B15" s="16">
        <v>40938</v>
      </c>
      <c r="C15" s="33" t="s">
        <v>2253</v>
      </c>
      <c r="D15" s="18">
        <f t="shared" si="0"/>
        <v>40953</v>
      </c>
      <c r="E15" s="19" t="s">
        <v>2254</v>
      </c>
      <c r="F15" s="19" t="s">
        <v>2255</v>
      </c>
      <c r="G15" s="21">
        <v>118</v>
      </c>
    </row>
    <row r="16" spans="1:7" ht="30" x14ac:dyDescent="0.3">
      <c r="A16" s="15">
        <v>9</v>
      </c>
      <c r="B16" s="16">
        <v>40934</v>
      </c>
      <c r="C16" s="33" t="s">
        <v>2256</v>
      </c>
      <c r="D16" s="18">
        <f t="shared" si="0"/>
        <v>40949</v>
      </c>
      <c r="E16" s="19" t="s">
        <v>894</v>
      </c>
      <c r="F16" s="19" t="s">
        <v>50</v>
      </c>
      <c r="G16" s="21">
        <v>455.5</v>
      </c>
    </row>
    <row r="17" spans="1:16" ht="30" x14ac:dyDescent="0.3">
      <c r="A17" s="15">
        <v>10</v>
      </c>
      <c r="B17" s="16">
        <v>40934</v>
      </c>
      <c r="C17" s="33" t="s">
        <v>2257</v>
      </c>
      <c r="D17" s="18">
        <f t="shared" si="0"/>
        <v>40949</v>
      </c>
      <c r="E17" s="19" t="s">
        <v>894</v>
      </c>
      <c r="F17" s="19" t="s">
        <v>50</v>
      </c>
      <c r="G17" s="21">
        <v>34.1</v>
      </c>
    </row>
    <row r="18" spans="1:16" ht="29.25" customHeight="1" x14ac:dyDescent="0.3">
      <c r="A18" s="15">
        <v>11</v>
      </c>
      <c r="B18" s="16">
        <v>40939</v>
      </c>
      <c r="C18" s="33" t="s">
        <v>2258</v>
      </c>
      <c r="D18" s="18">
        <f t="shared" si="0"/>
        <v>40954</v>
      </c>
      <c r="E18" s="19" t="s">
        <v>530</v>
      </c>
      <c r="F18" s="19" t="s">
        <v>2259</v>
      </c>
      <c r="G18" s="21">
        <v>311.52</v>
      </c>
    </row>
    <row r="19" spans="1:16" ht="15" x14ac:dyDescent="0.3">
      <c r="A19" s="15">
        <v>12</v>
      </c>
      <c r="B19" s="16">
        <v>40939</v>
      </c>
      <c r="C19" s="33" t="s">
        <v>2260</v>
      </c>
      <c r="D19" s="18">
        <f t="shared" si="0"/>
        <v>40954</v>
      </c>
      <c r="E19" s="19" t="s">
        <v>55</v>
      </c>
      <c r="F19" s="19" t="s">
        <v>2261</v>
      </c>
      <c r="G19" s="21">
        <v>1283.93</v>
      </c>
    </row>
    <row r="20" spans="1:16" s="60" customFormat="1" ht="15.75" x14ac:dyDescent="0.3">
      <c r="A20" s="15">
        <v>13</v>
      </c>
      <c r="B20" s="16">
        <v>40909</v>
      </c>
      <c r="C20" s="33" t="s">
        <v>2262</v>
      </c>
      <c r="D20" s="18">
        <v>40939</v>
      </c>
      <c r="E20" s="19" t="s">
        <v>67</v>
      </c>
      <c r="F20" s="19" t="s">
        <v>2263</v>
      </c>
      <c r="G20" s="21">
        <v>2091.66</v>
      </c>
      <c r="I20" s="107"/>
      <c r="P20" s="107"/>
    </row>
    <row r="21" spans="1:16" ht="45" x14ac:dyDescent="0.3">
      <c r="A21" s="15">
        <v>14</v>
      </c>
      <c r="B21" s="16">
        <v>40932</v>
      </c>
      <c r="C21" s="33" t="s">
        <v>2264</v>
      </c>
      <c r="D21" s="18">
        <f>+B21+15</f>
        <v>40947</v>
      </c>
      <c r="E21" s="19" t="s">
        <v>1678</v>
      </c>
      <c r="F21" s="19" t="s">
        <v>2265</v>
      </c>
      <c r="G21" s="21">
        <f>210.63+1111.5+796.5+489.7+413-17.3</f>
        <v>3004.0299999999997</v>
      </c>
    </row>
    <row r="22" spans="1:16" s="60" customFormat="1" ht="45" x14ac:dyDescent="0.3">
      <c r="A22" s="15">
        <v>15</v>
      </c>
      <c r="B22" s="16">
        <v>40940</v>
      </c>
      <c r="C22" s="33" t="s">
        <v>2266</v>
      </c>
      <c r="D22" s="18">
        <f>+B22+15</f>
        <v>40955</v>
      </c>
      <c r="E22" s="19" t="s">
        <v>1210</v>
      </c>
      <c r="F22" s="19" t="s">
        <v>2267</v>
      </c>
      <c r="G22" s="21">
        <f>1424+326</f>
        <v>1750</v>
      </c>
      <c r="I22" s="107"/>
      <c r="P22" s="107"/>
    </row>
    <row r="23" spans="1:16" ht="15" x14ac:dyDescent="0.2">
      <c r="A23" s="22"/>
      <c r="B23" s="22"/>
      <c r="C23" s="23"/>
      <c r="D23" s="24"/>
      <c r="E23" s="25"/>
      <c r="F23" s="26" t="s">
        <v>24</v>
      </c>
      <c r="G23" s="36">
        <f>SUM(G8:G22)</f>
        <v>11685.419999999998</v>
      </c>
    </row>
    <row r="24" spans="1:16" x14ac:dyDescent="0.2">
      <c r="B24" s="35"/>
    </row>
    <row r="28" spans="1:16" ht="12.75" customHeight="1" x14ac:dyDescent="0.2">
      <c r="F28" s="207" t="s">
        <v>0</v>
      </c>
      <c r="G28" s="207"/>
    </row>
    <row r="29" spans="1:16" ht="18.75" x14ac:dyDescent="0.3">
      <c r="A29" s="31" t="s">
        <v>1</v>
      </c>
      <c r="B29" s="29"/>
      <c r="C29" s="37"/>
      <c r="D29" s="30"/>
      <c r="E29" s="5"/>
      <c r="F29" s="29"/>
      <c r="G29" s="29"/>
    </row>
    <row r="30" spans="1:16" ht="15" x14ac:dyDescent="0.3">
      <c r="A30" s="29"/>
      <c r="B30" s="30"/>
      <c r="C30" s="37"/>
      <c r="D30" s="30"/>
      <c r="E30" s="5"/>
      <c r="F30" s="5"/>
      <c r="G30" s="32"/>
    </row>
    <row r="31" spans="1:16" ht="18" x14ac:dyDescent="0.25">
      <c r="A31" s="208" t="s">
        <v>2268</v>
      </c>
      <c r="B31" s="208"/>
      <c r="C31" s="208"/>
      <c r="D31" s="208"/>
      <c r="E31" s="208"/>
      <c r="F31" s="208"/>
      <c r="G31" s="208"/>
    </row>
    <row r="32" spans="1:16" ht="15" x14ac:dyDescent="0.3">
      <c r="A32" s="29"/>
      <c r="B32" s="9"/>
      <c r="C32" s="9"/>
      <c r="D32" s="9"/>
      <c r="E32" s="9"/>
      <c r="F32" s="10"/>
      <c r="G32" s="11"/>
    </row>
    <row r="33" spans="1:9" x14ac:dyDescent="0.2">
      <c r="A33" s="12" t="s">
        <v>2</v>
      </c>
      <c r="B33" s="12" t="s">
        <v>3</v>
      </c>
      <c r="C33" s="13" t="s">
        <v>4</v>
      </c>
      <c r="D33" s="14" t="s">
        <v>25</v>
      </c>
      <c r="E33" s="13" t="s">
        <v>6</v>
      </c>
      <c r="F33" s="13" t="s">
        <v>7</v>
      </c>
      <c r="G33" s="13" t="s">
        <v>32</v>
      </c>
    </row>
    <row r="34" spans="1:9" ht="102.75" x14ac:dyDescent="0.3">
      <c r="A34" s="15">
        <v>1</v>
      </c>
      <c r="B34" s="16">
        <v>40961</v>
      </c>
      <c r="C34" s="33" t="s">
        <v>2269</v>
      </c>
      <c r="D34" s="18" t="s">
        <v>2270</v>
      </c>
      <c r="E34" s="19" t="s">
        <v>208</v>
      </c>
      <c r="F34" s="19" t="s">
        <v>2271</v>
      </c>
      <c r="G34" s="21">
        <f>213.4+121.95+198.7+245.35+119.5+464.9</f>
        <v>1363.8</v>
      </c>
      <c r="H34" s="59" t="s">
        <v>27</v>
      </c>
    </row>
    <row r="35" spans="1:9" ht="30" x14ac:dyDescent="0.3">
      <c r="A35" s="15">
        <v>2</v>
      </c>
      <c r="B35" s="16">
        <v>40945</v>
      </c>
      <c r="C35" s="33" t="s">
        <v>2272</v>
      </c>
      <c r="D35" s="18" t="s">
        <v>2273</v>
      </c>
      <c r="E35" s="19" t="s">
        <v>2274</v>
      </c>
      <c r="F35" s="19" t="s">
        <v>2275</v>
      </c>
      <c r="G35" s="21">
        <v>3367.5</v>
      </c>
      <c r="H35" s="59" t="s">
        <v>27</v>
      </c>
      <c r="I35" t="s">
        <v>2276</v>
      </c>
    </row>
    <row r="36" spans="1:9" ht="30" x14ac:dyDescent="0.3">
      <c r="A36" s="15">
        <v>3</v>
      </c>
      <c r="B36" s="16">
        <v>40946</v>
      </c>
      <c r="C36" s="33" t="s">
        <v>2277</v>
      </c>
      <c r="D36" s="18" t="s">
        <v>2278</v>
      </c>
      <c r="E36" s="19" t="s">
        <v>2274</v>
      </c>
      <c r="F36" s="19" t="s">
        <v>2279</v>
      </c>
      <c r="G36" s="21">
        <v>3250.29</v>
      </c>
      <c r="H36" s="59" t="s">
        <v>27</v>
      </c>
      <c r="I36" t="s">
        <v>2276</v>
      </c>
    </row>
    <row r="37" spans="1:9" ht="30" x14ac:dyDescent="0.3">
      <c r="A37" s="15">
        <v>4</v>
      </c>
      <c r="B37" s="16">
        <v>40940</v>
      </c>
      <c r="C37" s="33" t="s">
        <v>2280</v>
      </c>
      <c r="D37" s="18" t="s">
        <v>2281</v>
      </c>
      <c r="E37" s="19" t="s">
        <v>2274</v>
      </c>
      <c r="F37" s="19" t="s">
        <v>2279</v>
      </c>
      <c r="G37" s="21">
        <v>3412.49</v>
      </c>
      <c r="H37" s="59" t="s">
        <v>27</v>
      </c>
      <c r="I37" t="s">
        <v>2276</v>
      </c>
    </row>
    <row r="38" spans="1:9" ht="30" x14ac:dyDescent="0.3">
      <c r="A38" s="15">
        <v>5</v>
      </c>
      <c r="B38" s="16">
        <v>40942</v>
      </c>
      <c r="C38" s="33" t="s">
        <v>2282</v>
      </c>
      <c r="D38" s="18" t="s">
        <v>2283</v>
      </c>
      <c r="E38" s="19" t="s">
        <v>2274</v>
      </c>
      <c r="F38" s="19" t="s">
        <v>2275</v>
      </c>
      <c r="G38" s="21">
        <v>3423</v>
      </c>
      <c r="H38" s="59" t="s">
        <v>27</v>
      </c>
      <c r="I38" t="s">
        <v>2276</v>
      </c>
    </row>
    <row r="39" spans="1:9" ht="39" x14ac:dyDescent="0.3">
      <c r="A39" s="15">
        <v>6</v>
      </c>
      <c r="B39" s="16">
        <v>40968</v>
      </c>
      <c r="C39" s="33" t="s">
        <v>2284</v>
      </c>
      <c r="D39" s="18" t="s">
        <v>2285</v>
      </c>
      <c r="E39" s="19" t="s">
        <v>110</v>
      </c>
      <c r="F39" s="19" t="s">
        <v>2286</v>
      </c>
      <c r="G39" s="21">
        <f>741.56+505.5</f>
        <v>1247.06</v>
      </c>
      <c r="H39" s="59" t="s">
        <v>27</v>
      </c>
    </row>
    <row r="40" spans="1:9" ht="30" x14ac:dyDescent="0.3">
      <c r="A40" s="15">
        <v>7</v>
      </c>
      <c r="B40" s="16">
        <v>40962</v>
      </c>
      <c r="C40" s="33" t="s">
        <v>2287</v>
      </c>
      <c r="D40" s="18" t="s">
        <v>2288</v>
      </c>
      <c r="E40" s="19" t="s">
        <v>1419</v>
      </c>
      <c r="F40" s="19" t="s">
        <v>242</v>
      </c>
      <c r="G40" s="21">
        <v>2430</v>
      </c>
      <c r="H40" s="59" t="s">
        <v>27</v>
      </c>
    </row>
    <row r="41" spans="1:9" ht="45" x14ac:dyDescent="0.3">
      <c r="A41" s="15">
        <v>3</v>
      </c>
      <c r="B41" s="16">
        <v>40964</v>
      </c>
      <c r="C41" s="33" t="s">
        <v>2289</v>
      </c>
      <c r="D41" s="18" t="s">
        <v>2290</v>
      </c>
      <c r="E41" s="19" t="s">
        <v>2291</v>
      </c>
      <c r="F41" s="19" t="s">
        <v>2292</v>
      </c>
      <c r="G41" s="21">
        <f>7097.31+785.6+5</f>
        <v>7887.9100000000008</v>
      </c>
      <c r="H41" s="35" t="s">
        <v>27</v>
      </c>
    </row>
    <row r="42" spans="1:9" ht="15" x14ac:dyDescent="0.3">
      <c r="A42" s="29"/>
      <c r="B42" s="30"/>
      <c r="C42" s="37"/>
      <c r="D42" s="30"/>
      <c r="E42" s="5"/>
      <c r="F42" s="46" t="s">
        <v>24</v>
      </c>
      <c r="G42" s="36">
        <f>SUM(G34:G41)</f>
        <v>26382.05</v>
      </c>
    </row>
    <row r="47" spans="1:9" x14ac:dyDescent="0.2">
      <c r="A47" s="216" t="s">
        <v>1807</v>
      </c>
      <c r="B47" s="216"/>
      <c r="C47" s="216"/>
      <c r="D47" s="216"/>
      <c r="E47" s="216"/>
      <c r="F47" s="216"/>
      <c r="G47" s="216"/>
    </row>
    <row r="48" spans="1:9" x14ac:dyDescent="0.2">
      <c r="A48" s="216"/>
      <c r="B48" s="216"/>
      <c r="C48" s="216"/>
      <c r="D48" s="216"/>
      <c r="E48" s="216"/>
      <c r="F48" s="216"/>
      <c r="G48" s="216"/>
    </row>
    <row r="49" spans="1:9" x14ac:dyDescent="0.2">
      <c r="A49" s="216"/>
      <c r="B49" s="216"/>
      <c r="C49" s="216"/>
      <c r="D49" s="216"/>
      <c r="E49" s="216"/>
      <c r="F49" s="216"/>
      <c r="G49" s="216"/>
    </row>
    <row r="53" spans="1:9" ht="12.75" customHeight="1" x14ac:dyDescent="0.2">
      <c r="F53" s="207" t="s">
        <v>0</v>
      </c>
      <c r="G53" s="207"/>
    </row>
    <row r="54" spans="1:9" ht="18.75" x14ac:dyDescent="0.3">
      <c r="A54" s="31" t="s">
        <v>1</v>
      </c>
      <c r="B54" s="29"/>
      <c r="C54" s="37"/>
      <c r="D54" s="30"/>
      <c r="E54" s="5"/>
      <c r="F54" s="29"/>
      <c r="G54" s="29"/>
    </row>
    <row r="55" spans="1:9" ht="15" x14ac:dyDescent="0.3">
      <c r="A55" s="29"/>
      <c r="B55" s="30"/>
      <c r="C55" s="37"/>
      <c r="D55" s="30"/>
      <c r="E55" s="5"/>
      <c r="F55" s="5"/>
      <c r="G55" s="32"/>
    </row>
    <row r="56" spans="1:9" ht="18" x14ac:dyDescent="0.25">
      <c r="A56" s="208" t="s">
        <v>2268</v>
      </c>
      <c r="B56" s="208"/>
      <c r="C56" s="208"/>
      <c r="D56" s="208"/>
      <c r="E56" s="208"/>
      <c r="F56" s="208"/>
      <c r="G56" s="208"/>
    </row>
    <row r="57" spans="1:9" ht="15" x14ac:dyDescent="0.3">
      <c r="A57" s="29"/>
      <c r="B57" s="9"/>
      <c r="C57" s="9"/>
      <c r="D57" s="9"/>
      <c r="E57" s="9"/>
      <c r="F57" s="10"/>
      <c r="G57" s="11"/>
    </row>
    <row r="58" spans="1:9" x14ac:dyDescent="0.2">
      <c r="A58" s="12" t="s">
        <v>2</v>
      </c>
      <c r="B58" s="12" t="s">
        <v>3</v>
      </c>
      <c r="C58" s="13" t="s">
        <v>4</v>
      </c>
      <c r="D58" s="14" t="s">
        <v>25</v>
      </c>
      <c r="E58" s="13" t="s">
        <v>6</v>
      </c>
      <c r="F58" s="13" t="s">
        <v>7</v>
      </c>
      <c r="G58" s="13" t="s">
        <v>32</v>
      </c>
    </row>
    <row r="59" spans="1:9" ht="39" x14ac:dyDescent="0.3">
      <c r="A59" s="15">
        <v>1</v>
      </c>
      <c r="B59" s="16">
        <v>40945</v>
      </c>
      <c r="C59" s="33" t="s">
        <v>2293</v>
      </c>
      <c r="D59" s="18" t="s">
        <v>2294</v>
      </c>
      <c r="E59" s="19" t="s">
        <v>2295</v>
      </c>
      <c r="F59" s="19" t="s">
        <v>96</v>
      </c>
      <c r="G59" s="21">
        <f>(21004+9322+8850+17228)-((21004+9322+8850+17228)*0.04)</f>
        <v>54147.839999999997</v>
      </c>
      <c r="H59" t="s">
        <v>27</v>
      </c>
      <c r="I59" t="s">
        <v>1807</v>
      </c>
    </row>
    <row r="60" spans="1:9" ht="15" x14ac:dyDescent="0.3">
      <c r="A60" s="29"/>
      <c r="B60" s="30"/>
      <c r="C60" s="37"/>
      <c r="D60" s="30"/>
      <c r="E60" s="5"/>
      <c r="F60" s="46" t="s">
        <v>24</v>
      </c>
      <c r="G60" s="36">
        <f>SUM(G59:G59)</f>
        <v>54147.839999999997</v>
      </c>
    </row>
  </sheetData>
  <sheetProtection selectLockedCells="1" selectUnlockedCells="1"/>
  <mergeCells count="7">
    <mergeCell ref="A56:G56"/>
    <mergeCell ref="F1:G1"/>
    <mergeCell ref="A5:G5"/>
    <mergeCell ref="F28:G28"/>
    <mergeCell ref="A31:G31"/>
    <mergeCell ref="A47:G49"/>
    <mergeCell ref="F53:G53"/>
  </mergeCells>
  <printOptions horizontalCentered="1"/>
  <pageMargins left="0" right="0" top="0.74791666666666667" bottom="0.74791666666666667" header="0.51180555555555551" footer="0.51180555555555551"/>
  <pageSetup paperSize="9" scale="90" firstPageNumber="0" orientation="portrait" horizontalDpi="300" verticalDpi="300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4"/>
  <dimension ref="A1:P29"/>
  <sheetViews>
    <sheetView topLeftCell="A25" workbookViewId="0">
      <selection activeCell="A17" sqref="A17"/>
    </sheetView>
  </sheetViews>
  <sheetFormatPr baseColWidth="10" defaultColWidth="10.7109375" defaultRowHeight="12.75" x14ac:dyDescent="0.2"/>
  <cols>
    <col min="1" max="1" width="4.42578125" customWidth="1"/>
    <col min="2" max="2" width="12.28515625" customWidth="1"/>
    <col min="4" max="4" width="12.42578125" customWidth="1"/>
    <col min="5" max="5" width="27.42578125" customWidth="1"/>
    <col min="6" max="6" width="38.7109375" customWidth="1"/>
    <col min="7" max="7" width="13.140625" customWidth="1"/>
  </cols>
  <sheetData>
    <row r="1" spans="1:16" ht="15" customHeight="1" x14ac:dyDescent="0.3">
      <c r="A1" s="1"/>
      <c r="B1" s="2"/>
      <c r="C1" s="3"/>
      <c r="D1" s="4"/>
      <c r="E1" s="5"/>
      <c r="F1" s="207" t="s">
        <v>0</v>
      </c>
      <c r="G1" s="207"/>
    </row>
    <row r="2" spans="1:16" ht="18.75" x14ac:dyDescent="0.3">
      <c r="A2" s="7" t="s">
        <v>1</v>
      </c>
      <c r="B2" s="7"/>
      <c r="C2" s="3"/>
      <c r="D2" s="4"/>
      <c r="E2" s="5"/>
      <c r="F2" s="5"/>
      <c r="G2" s="8"/>
    </row>
    <row r="3" spans="1:16" ht="15" x14ac:dyDescent="0.3">
      <c r="A3" s="1"/>
      <c r="B3" s="2"/>
      <c r="C3" s="3"/>
      <c r="D3" s="4"/>
      <c r="E3" s="5"/>
      <c r="F3" s="5"/>
      <c r="G3" s="8"/>
    </row>
    <row r="4" spans="1:16" ht="15" x14ac:dyDescent="0.3">
      <c r="A4" s="1"/>
      <c r="B4" s="2"/>
      <c r="C4" s="3"/>
      <c r="D4" s="4"/>
      <c r="E4" s="5"/>
      <c r="F4" s="5"/>
      <c r="G4" s="8"/>
    </row>
    <row r="5" spans="1:16" ht="18" x14ac:dyDescent="0.25">
      <c r="A5" s="208" t="s">
        <v>2296</v>
      </c>
      <c r="B5" s="208"/>
      <c r="C5" s="208"/>
      <c r="D5" s="208"/>
      <c r="E5" s="208"/>
      <c r="F5" s="208"/>
      <c r="G5" s="208"/>
    </row>
    <row r="6" spans="1:16" ht="15" x14ac:dyDescent="0.3">
      <c r="A6" s="1"/>
      <c r="B6" s="9"/>
      <c r="C6" s="9"/>
      <c r="D6" s="9"/>
      <c r="E6" s="9"/>
      <c r="F6" s="10"/>
      <c r="G6" s="11"/>
    </row>
    <row r="7" spans="1:16" x14ac:dyDescent="0.2">
      <c r="A7" s="12" t="s">
        <v>2</v>
      </c>
      <c r="B7" s="12" t="s">
        <v>3</v>
      </c>
      <c r="C7" s="13" t="s">
        <v>4</v>
      </c>
      <c r="D7" s="14" t="s">
        <v>5</v>
      </c>
      <c r="E7" s="13" t="s">
        <v>6</v>
      </c>
      <c r="F7" s="13" t="s">
        <v>7</v>
      </c>
      <c r="G7" s="13" t="s">
        <v>8</v>
      </c>
    </row>
    <row r="8" spans="1:16" ht="30" x14ac:dyDescent="0.3">
      <c r="A8" s="15">
        <v>1</v>
      </c>
      <c r="B8" s="16">
        <v>40929</v>
      </c>
      <c r="C8" s="33" t="s">
        <v>2297</v>
      </c>
      <c r="D8" s="18">
        <f>+B8+30</f>
        <v>40959</v>
      </c>
      <c r="E8" s="19" t="s">
        <v>2298</v>
      </c>
      <c r="F8" s="19" t="s">
        <v>2299</v>
      </c>
      <c r="G8" s="21">
        <v>18.05</v>
      </c>
    </row>
    <row r="9" spans="1:16" s="60" customFormat="1" ht="30" x14ac:dyDescent="0.3">
      <c r="A9" s="15">
        <v>2</v>
      </c>
      <c r="B9" s="16">
        <v>40910</v>
      </c>
      <c r="C9" s="33" t="s">
        <v>2300</v>
      </c>
      <c r="D9" s="18">
        <f>+B9+30</f>
        <v>40940</v>
      </c>
      <c r="E9" s="19" t="s">
        <v>349</v>
      </c>
      <c r="F9" s="19" t="s">
        <v>2301</v>
      </c>
      <c r="G9" s="21">
        <v>3206.77</v>
      </c>
      <c r="H9" s="107" t="s">
        <v>2302</v>
      </c>
      <c r="I9" s="107"/>
    </row>
    <row r="10" spans="1:16" ht="30" x14ac:dyDescent="0.3">
      <c r="A10" s="15">
        <v>3</v>
      </c>
      <c r="B10" s="16">
        <v>40932</v>
      </c>
      <c r="C10" s="33" t="s">
        <v>2264</v>
      </c>
      <c r="D10" s="18">
        <f>+B10+15</f>
        <v>40947</v>
      </c>
      <c r="E10" s="19" t="s">
        <v>1678</v>
      </c>
      <c r="F10" s="19" t="s">
        <v>2265</v>
      </c>
      <c r="G10" s="21">
        <v>189.99</v>
      </c>
      <c r="H10" s="44">
        <f>+G9-211.5</f>
        <v>2995.27</v>
      </c>
    </row>
    <row r="11" spans="1:16" s="60" customFormat="1" ht="45" x14ac:dyDescent="0.3">
      <c r="A11" s="15">
        <v>4</v>
      </c>
      <c r="B11" s="16">
        <v>40940</v>
      </c>
      <c r="C11" s="33" t="s">
        <v>2266</v>
      </c>
      <c r="D11" s="18">
        <f>+B11+15</f>
        <v>40955</v>
      </c>
      <c r="E11" s="19" t="s">
        <v>1210</v>
      </c>
      <c r="F11" s="19" t="s">
        <v>2267</v>
      </c>
      <c r="G11" s="21">
        <f>107.16+106.2+35.4</f>
        <v>248.76000000000002</v>
      </c>
      <c r="I11" s="107"/>
      <c r="P11" s="107"/>
    </row>
    <row r="12" spans="1:16" ht="15" x14ac:dyDescent="0.2">
      <c r="A12" s="22"/>
      <c r="B12" s="22"/>
      <c r="C12" s="23"/>
      <c r="D12" s="24"/>
      <c r="E12" s="25"/>
      <c r="F12" s="26" t="s">
        <v>24</v>
      </c>
      <c r="G12" s="27">
        <f>SUM(G8:G11)</f>
        <v>3663.5700000000006</v>
      </c>
    </row>
    <row r="14" spans="1:16" x14ac:dyDescent="0.2">
      <c r="B14" s="35"/>
    </row>
    <row r="15" spans="1:16" x14ac:dyDescent="0.2">
      <c r="B15" s="35"/>
    </row>
    <row r="18" spans="1:8" ht="15" x14ac:dyDescent="0.2">
      <c r="A18" s="22"/>
      <c r="B18" s="22"/>
      <c r="C18" s="23"/>
      <c r="D18" s="24"/>
      <c r="E18" s="25"/>
      <c r="F18" s="55"/>
      <c r="G18" s="68"/>
    </row>
    <row r="19" spans="1:8" ht="15" customHeight="1" x14ac:dyDescent="0.3">
      <c r="A19" s="29"/>
      <c r="B19" s="30"/>
      <c r="C19" s="37"/>
      <c r="D19" s="30"/>
      <c r="E19" s="5"/>
      <c r="F19" s="207" t="s">
        <v>0</v>
      </c>
      <c r="G19" s="207"/>
    </row>
    <row r="20" spans="1:8" ht="18.75" x14ac:dyDescent="0.3">
      <c r="A20" s="31" t="s">
        <v>1</v>
      </c>
      <c r="B20" s="29"/>
      <c r="C20" s="37"/>
      <c r="D20" s="30"/>
      <c r="E20" s="5"/>
      <c r="F20" s="29"/>
      <c r="G20" s="29"/>
    </row>
    <row r="21" spans="1:8" ht="15" x14ac:dyDescent="0.3">
      <c r="A21" s="29"/>
      <c r="B21" s="30"/>
      <c r="C21" s="37"/>
      <c r="D21" s="30"/>
      <c r="E21" s="5"/>
      <c r="F21" s="5"/>
      <c r="G21" s="32"/>
    </row>
    <row r="22" spans="1:8" ht="15" x14ac:dyDescent="0.3">
      <c r="A22" s="29"/>
      <c r="B22" s="30"/>
      <c r="C22" s="37"/>
      <c r="D22" s="30"/>
      <c r="E22" s="5"/>
      <c r="F22" s="5"/>
      <c r="G22" s="32"/>
    </row>
    <row r="23" spans="1:8" ht="18" x14ac:dyDescent="0.25">
      <c r="A23" s="208" t="s">
        <v>2303</v>
      </c>
      <c r="B23" s="208"/>
      <c r="C23" s="208"/>
      <c r="D23" s="208"/>
      <c r="E23" s="208"/>
      <c r="F23" s="208"/>
      <c r="G23" s="208"/>
    </row>
    <row r="24" spans="1:8" ht="15" x14ac:dyDescent="0.3">
      <c r="A24" s="29"/>
      <c r="B24" s="9"/>
      <c r="C24" s="9"/>
      <c r="D24" s="9"/>
      <c r="E24" s="9"/>
      <c r="F24" s="10"/>
      <c r="G24" s="11"/>
    </row>
    <row r="25" spans="1:8" x14ac:dyDescent="0.2">
      <c r="A25" s="12" t="s">
        <v>2</v>
      </c>
      <c r="B25" s="12" t="s">
        <v>3</v>
      </c>
      <c r="C25" s="13" t="s">
        <v>4</v>
      </c>
      <c r="D25" s="14" t="s">
        <v>25</v>
      </c>
      <c r="E25" s="13" t="s">
        <v>6</v>
      </c>
      <c r="F25" s="13" t="s">
        <v>7</v>
      </c>
      <c r="G25" s="13" t="s">
        <v>8</v>
      </c>
    </row>
    <row r="26" spans="1:8" ht="30" x14ac:dyDescent="0.3">
      <c r="A26" s="15">
        <v>1</v>
      </c>
      <c r="B26" s="16">
        <v>40963</v>
      </c>
      <c r="C26" s="33" t="s">
        <v>2304</v>
      </c>
      <c r="D26" s="18" t="s">
        <v>2305</v>
      </c>
      <c r="E26" s="19" t="s">
        <v>2006</v>
      </c>
      <c r="F26" s="19" t="s">
        <v>1449</v>
      </c>
      <c r="G26" s="21">
        <v>4679.6000000000004</v>
      </c>
      <c r="H26" s="35" t="s">
        <v>27</v>
      </c>
    </row>
    <row r="27" spans="1:8" ht="30" x14ac:dyDescent="0.3">
      <c r="A27" s="15">
        <v>2</v>
      </c>
      <c r="B27" s="16">
        <v>40963</v>
      </c>
      <c r="C27" s="33" t="s">
        <v>2306</v>
      </c>
      <c r="D27" s="18" t="s">
        <v>2307</v>
      </c>
      <c r="E27" s="19" t="s">
        <v>2006</v>
      </c>
      <c r="F27" s="19" t="s">
        <v>1449</v>
      </c>
      <c r="G27" s="21">
        <v>7604.35</v>
      </c>
      <c r="H27" s="35" t="s">
        <v>27</v>
      </c>
    </row>
    <row r="28" spans="1:8" ht="30" x14ac:dyDescent="0.3">
      <c r="A28" s="15">
        <v>3</v>
      </c>
      <c r="B28" s="16">
        <v>40969</v>
      </c>
      <c r="C28" s="33" t="s">
        <v>2308</v>
      </c>
      <c r="D28" s="18" t="s">
        <v>2309</v>
      </c>
      <c r="E28" s="19" t="s">
        <v>212</v>
      </c>
      <c r="F28" s="19" t="s">
        <v>2310</v>
      </c>
      <c r="G28" s="21">
        <v>525.37</v>
      </c>
      <c r="H28" s="108" t="s">
        <v>27</v>
      </c>
    </row>
    <row r="29" spans="1:8" ht="15" x14ac:dyDescent="0.3">
      <c r="A29" s="29"/>
      <c r="B29" s="30"/>
      <c r="C29" s="37"/>
      <c r="D29" s="30"/>
      <c r="E29" s="5"/>
      <c r="F29" s="46" t="s">
        <v>24</v>
      </c>
      <c r="G29" s="103">
        <f>SUM(G26:G27)</f>
        <v>12283.95</v>
      </c>
    </row>
  </sheetData>
  <sheetProtection selectLockedCells="1" selectUnlockedCells="1"/>
  <mergeCells count="4">
    <mergeCell ref="F1:G1"/>
    <mergeCell ref="A5:G5"/>
    <mergeCell ref="F19:G19"/>
    <mergeCell ref="A23:G23"/>
  </mergeCells>
  <printOptions horizontalCentered="1"/>
  <pageMargins left="0" right="0" top="0.74791666666666667" bottom="0.74791666666666667" header="0.51180555555555551" footer="0.51180555555555551"/>
  <pageSetup paperSize="9" scale="85" firstPageNumber="0" orientation="portrait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5"/>
  <dimension ref="A1:J55"/>
  <sheetViews>
    <sheetView workbookViewId="0">
      <selection activeCell="F32" sqref="F32"/>
    </sheetView>
  </sheetViews>
  <sheetFormatPr baseColWidth="10" defaultColWidth="10.7109375" defaultRowHeight="12.75" x14ac:dyDescent="0.2"/>
  <cols>
    <col min="1" max="1" width="4.42578125" customWidth="1"/>
    <col min="2" max="2" width="12.85546875" customWidth="1"/>
    <col min="4" max="4" width="13" customWidth="1"/>
    <col min="5" max="5" width="30.42578125" customWidth="1"/>
    <col min="6" max="6" width="36.7109375" customWidth="1"/>
    <col min="7" max="7" width="14.42578125" customWidth="1"/>
    <col min="9" max="9" width="12.42578125" customWidth="1"/>
  </cols>
  <sheetData>
    <row r="1" spans="1:8" ht="15" customHeight="1" x14ac:dyDescent="0.3">
      <c r="A1" s="1"/>
      <c r="B1" s="2"/>
      <c r="C1" s="3"/>
      <c r="D1" s="4"/>
      <c r="E1" s="5"/>
      <c r="F1" s="207" t="s">
        <v>0</v>
      </c>
      <c r="G1" s="207"/>
    </row>
    <row r="2" spans="1:8" ht="18.75" x14ac:dyDescent="0.3">
      <c r="A2" s="7" t="s">
        <v>1</v>
      </c>
      <c r="B2" s="7"/>
      <c r="C2" s="3"/>
      <c r="D2" s="4"/>
      <c r="E2" s="5"/>
      <c r="F2" s="5"/>
      <c r="G2" s="8"/>
    </row>
    <row r="3" spans="1:8" ht="15" x14ac:dyDescent="0.3">
      <c r="A3" s="1"/>
      <c r="B3" s="2"/>
      <c r="C3" s="3"/>
      <c r="D3" s="4"/>
      <c r="E3" s="5"/>
      <c r="F3" s="5"/>
      <c r="G3" s="8"/>
    </row>
    <row r="4" spans="1:8" ht="15" x14ac:dyDescent="0.3">
      <c r="A4" s="1"/>
      <c r="B4" s="2"/>
      <c r="C4" s="3"/>
      <c r="D4" s="4"/>
      <c r="E4" s="5"/>
      <c r="F4" s="5"/>
      <c r="G4" s="8"/>
    </row>
    <row r="5" spans="1:8" ht="18" x14ac:dyDescent="0.25">
      <c r="A5" s="208" t="s">
        <v>2311</v>
      </c>
      <c r="B5" s="208"/>
      <c r="C5" s="208"/>
      <c r="D5" s="208"/>
      <c r="E5" s="208"/>
      <c r="F5" s="208"/>
      <c r="G5" s="208"/>
    </row>
    <row r="6" spans="1:8" ht="15" x14ac:dyDescent="0.3">
      <c r="A6" s="1"/>
      <c r="B6" s="9"/>
      <c r="C6" s="9"/>
      <c r="D6" s="9"/>
      <c r="E6" s="9"/>
      <c r="F6" s="10"/>
      <c r="G6" s="11"/>
    </row>
    <row r="7" spans="1:8" x14ac:dyDescent="0.2">
      <c r="A7" s="12" t="s">
        <v>2</v>
      </c>
      <c r="B7" s="12" t="s">
        <v>3</v>
      </c>
      <c r="C7" s="13" t="s">
        <v>4</v>
      </c>
      <c r="D7" s="14" t="s">
        <v>5</v>
      </c>
      <c r="E7" s="13" t="s">
        <v>6</v>
      </c>
      <c r="F7" s="13" t="s">
        <v>7</v>
      </c>
      <c r="G7" s="13" t="s">
        <v>8</v>
      </c>
    </row>
    <row r="8" spans="1:8" s="1" customFormat="1" ht="30" x14ac:dyDescent="0.3">
      <c r="A8" s="15">
        <v>1</v>
      </c>
      <c r="B8" s="16">
        <v>40543</v>
      </c>
      <c r="C8" s="17" t="s">
        <v>2312</v>
      </c>
      <c r="D8" s="18">
        <f>+B8</f>
        <v>40543</v>
      </c>
      <c r="E8" s="19" t="s">
        <v>2155</v>
      </c>
      <c r="F8" s="20" t="s">
        <v>2313</v>
      </c>
      <c r="G8" s="21">
        <v>52.21</v>
      </c>
    </row>
    <row r="9" spans="1:8" s="1" customFormat="1" ht="30" x14ac:dyDescent="0.3">
      <c r="A9" s="15">
        <v>2</v>
      </c>
      <c r="B9" s="16">
        <v>40578</v>
      </c>
      <c r="C9" s="17" t="s">
        <v>2314</v>
      </c>
      <c r="D9" s="18">
        <f>+B9+30</f>
        <v>40608</v>
      </c>
      <c r="E9" s="19" t="s">
        <v>2315</v>
      </c>
      <c r="F9" s="20" t="s">
        <v>2316</v>
      </c>
      <c r="G9" s="21">
        <v>1478.42</v>
      </c>
    </row>
    <row r="10" spans="1:8" s="1" customFormat="1" ht="15" x14ac:dyDescent="0.3">
      <c r="A10" s="15">
        <v>3</v>
      </c>
      <c r="B10" s="16">
        <v>40578</v>
      </c>
      <c r="C10" s="17" t="s">
        <v>2317</v>
      </c>
      <c r="D10" s="18">
        <f>+B10</f>
        <v>40578</v>
      </c>
      <c r="E10" s="19" t="s">
        <v>313</v>
      </c>
      <c r="F10" s="20" t="s">
        <v>2318</v>
      </c>
      <c r="G10" s="21">
        <v>85.91</v>
      </c>
      <c r="H10" s="1" t="s">
        <v>2319</v>
      </c>
    </row>
    <row r="11" spans="1:8" ht="15" x14ac:dyDescent="0.2">
      <c r="A11" s="22"/>
      <c r="B11" s="22"/>
      <c r="C11" s="23"/>
      <c r="D11" s="24"/>
      <c r="E11" s="25"/>
      <c r="F11" s="26" t="s">
        <v>24</v>
      </c>
      <c r="G11" s="27">
        <f>SUM(G8:G10)</f>
        <v>1616.5400000000002</v>
      </c>
    </row>
    <row r="20" spans="1:9" s="1" customFormat="1" ht="15" x14ac:dyDescent="0.3">
      <c r="F20" s="5"/>
      <c r="G20" s="11"/>
      <c r="I20" s="28"/>
    </row>
    <row r="21" spans="1:9" s="1" customFormat="1" ht="15" x14ac:dyDescent="0.3">
      <c r="F21" s="5"/>
      <c r="G21" s="11"/>
      <c r="I21" s="28"/>
    </row>
    <row r="22" spans="1:9" s="1" customFormat="1" ht="15" customHeight="1" x14ac:dyDescent="0.3">
      <c r="A22" s="29"/>
      <c r="B22" s="30"/>
      <c r="C22" s="3"/>
      <c r="D22" s="30"/>
      <c r="E22" s="5"/>
      <c r="F22" s="207" t="s">
        <v>0</v>
      </c>
      <c r="G22" s="207"/>
      <c r="I22" s="28"/>
    </row>
    <row r="23" spans="1:9" s="1" customFormat="1" ht="18.75" x14ac:dyDescent="0.3">
      <c r="A23" s="31" t="s">
        <v>1</v>
      </c>
      <c r="B23" s="29"/>
      <c r="C23" s="3"/>
      <c r="D23" s="30"/>
      <c r="E23" s="5"/>
      <c r="F23" s="29"/>
      <c r="G23" s="29"/>
      <c r="I23" s="28"/>
    </row>
    <row r="24" spans="1:9" s="1" customFormat="1" ht="15" x14ac:dyDescent="0.3">
      <c r="A24" s="29"/>
      <c r="B24" s="30"/>
      <c r="C24" s="3"/>
      <c r="D24" s="30"/>
      <c r="E24" s="5"/>
      <c r="F24" s="5"/>
      <c r="G24" s="32"/>
      <c r="I24" s="28"/>
    </row>
    <row r="25" spans="1:9" s="1" customFormat="1" ht="15" x14ac:dyDescent="0.3">
      <c r="A25" s="29"/>
      <c r="B25" s="30"/>
      <c r="C25" s="3"/>
      <c r="D25" s="30"/>
      <c r="E25" s="5"/>
      <c r="F25" s="5"/>
      <c r="G25" s="32"/>
    </row>
    <row r="26" spans="1:9" s="1" customFormat="1" ht="18.75" x14ac:dyDescent="0.3">
      <c r="A26" s="208" t="s">
        <v>2320</v>
      </c>
      <c r="B26" s="208"/>
      <c r="C26" s="208"/>
      <c r="D26" s="208"/>
      <c r="E26" s="208"/>
      <c r="F26" s="208"/>
      <c r="G26" s="208"/>
    </row>
    <row r="27" spans="1:9" s="1" customFormat="1" ht="15" x14ac:dyDescent="0.3">
      <c r="A27" s="29"/>
      <c r="B27" s="9"/>
      <c r="C27" s="9"/>
      <c r="D27" s="9"/>
      <c r="E27" s="9"/>
      <c r="F27" s="10"/>
      <c r="G27" s="11"/>
    </row>
    <row r="28" spans="1:9" s="1" customFormat="1" ht="15" x14ac:dyDescent="0.3">
      <c r="A28" s="12" t="s">
        <v>2</v>
      </c>
      <c r="B28" s="12" t="s">
        <v>3</v>
      </c>
      <c r="C28" s="13" t="s">
        <v>4</v>
      </c>
      <c r="D28" s="14" t="s">
        <v>25</v>
      </c>
      <c r="E28" s="13" t="s">
        <v>6</v>
      </c>
      <c r="F28" s="13" t="s">
        <v>7</v>
      </c>
      <c r="G28" s="13" t="s">
        <v>8</v>
      </c>
    </row>
    <row r="29" spans="1:9" s="1" customFormat="1" ht="45" x14ac:dyDescent="0.3">
      <c r="A29" s="15">
        <v>1</v>
      </c>
      <c r="B29" s="16">
        <v>40589</v>
      </c>
      <c r="C29" s="33" t="s">
        <v>2321</v>
      </c>
      <c r="D29" s="18" t="s">
        <v>2322</v>
      </c>
      <c r="E29" s="19" t="s">
        <v>313</v>
      </c>
      <c r="F29" s="20" t="s">
        <v>2323</v>
      </c>
      <c r="G29" s="21">
        <v>372.24</v>
      </c>
      <c r="H29" s="34" t="s">
        <v>27</v>
      </c>
    </row>
    <row r="30" spans="1:9" s="1" customFormat="1" ht="75" x14ac:dyDescent="0.3">
      <c r="A30" s="15">
        <v>2</v>
      </c>
      <c r="B30" s="16">
        <v>40589</v>
      </c>
      <c r="C30" s="33" t="s">
        <v>2324</v>
      </c>
      <c r="D30" s="18" t="s">
        <v>2325</v>
      </c>
      <c r="E30" s="19" t="s">
        <v>313</v>
      </c>
      <c r="F30" s="20" t="s">
        <v>2326</v>
      </c>
      <c r="G30" s="21">
        <v>743.81</v>
      </c>
      <c r="H30" s="34" t="s">
        <v>27</v>
      </c>
    </row>
    <row r="31" spans="1:9" s="1" customFormat="1" ht="39" x14ac:dyDescent="0.3">
      <c r="A31" s="15">
        <v>3</v>
      </c>
      <c r="B31" s="16">
        <v>40584</v>
      </c>
      <c r="C31" s="33" t="s">
        <v>2327</v>
      </c>
      <c r="D31" s="18" t="s">
        <v>2328</v>
      </c>
      <c r="E31" s="19" t="s">
        <v>2329</v>
      </c>
      <c r="F31" s="20" t="s">
        <v>2330</v>
      </c>
      <c r="G31" s="21">
        <f>1725.5+91.63</f>
        <v>1817.13</v>
      </c>
      <c r="H31" s="34" t="s">
        <v>27</v>
      </c>
    </row>
    <row r="32" spans="1:9" s="1" customFormat="1" ht="30" x14ac:dyDescent="0.3">
      <c r="A32" s="15">
        <v>4</v>
      </c>
      <c r="B32" s="16">
        <v>40569</v>
      </c>
      <c r="C32" s="33" t="s">
        <v>2331</v>
      </c>
      <c r="D32" s="18" t="s">
        <v>2332</v>
      </c>
      <c r="E32" s="19" t="s">
        <v>2333</v>
      </c>
      <c r="F32" s="20" t="s">
        <v>1001</v>
      </c>
      <c r="G32" s="21">
        <v>74.97</v>
      </c>
      <c r="H32" s="34" t="s">
        <v>27</v>
      </c>
    </row>
    <row r="33" spans="1:8" s="1" customFormat="1" ht="45" x14ac:dyDescent="0.3">
      <c r="A33" s="15">
        <v>5</v>
      </c>
      <c r="B33" s="16">
        <v>40583</v>
      </c>
      <c r="C33" s="33" t="s">
        <v>2334</v>
      </c>
      <c r="D33" s="18" t="s">
        <v>2335</v>
      </c>
      <c r="E33" s="19" t="s">
        <v>2336</v>
      </c>
      <c r="F33" s="20" t="s">
        <v>2337</v>
      </c>
      <c r="G33" s="21">
        <v>175644</v>
      </c>
      <c r="H33" s="34" t="s">
        <v>27</v>
      </c>
    </row>
    <row r="34" spans="1:8" s="1" customFormat="1" ht="30" x14ac:dyDescent="0.3">
      <c r="A34" s="15">
        <v>6</v>
      </c>
      <c r="B34" s="16">
        <v>40554</v>
      </c>
      <c r="C34" s="33" t="s">
        <v>2338</v>
      </c>
      <c r="D34" s="18" t="s">
        <v>2339</v>
      </c>
      <c r="E34" s="19" t="s">
        <v>2340</v>
      </c>
      <c r="F34" s="20" t="s">
        <v>26</v>
      </c>
      <c r="G34" s="21">
        <v>142.80000000000001</v>
      </c>
      <c r="H34" s="34" t="s">
        <v>27</v>
      </c>
    </row>
    <row r="35" spans="1:8" s="1" customFormat="1" ht="30" x14ac:dyDescent="0.3">
      <c r="A35" s="15">
        <v>7</v>
      </c>
      <c r="B35" s="16">
        <v>40583</v>
      </c>
      <c r="C35" s="33" t="s">
        <v>2341</v>
      </c>
      <c r="D35" s="18" t="s">
        <v>2342</v>
      </c>
      <c r="E35" s="19" t="s">
        <v>1233</v>
      </c>
      <c r="F35" s="20" t="s">
        <v>89</v>
      </c>
      <c r="G35" s="21">
        <v>1035.3</v>
      </c>
      <c r="H35" s="34" t="s">
        <v>27</v>
      </c>
    </row>
    <row r="36" spans="1:8" s="1" customFormat="1" ht="30" x14ac:dyDescent="0.3">
      <c r="A36" s="15">
        <v>8</v>
      </c>
      <c r="B36" s="16">
        <v>40584</v>
      </c>
      <c r="C36" s="33" t="s">
        <v>2343</v>
      </c>
      <c r="D36" s="18" t="s">
        <v>2344</v>
      </c>
      <c r="E36" s="19" t="s">
        <v>2345</v>
      </c>
      <c r="F36" s="20" t="s">
        <v>2346</v>
      </c>
      <c r="G36" s="21">
        <v>5384.77</v>
      </c>
      <c r="H36" s="34" t="s">
        <v>27</v>
      </c>
    </row>
    <row r="37" spans="1:8" s="1" customFormat="1" ht="15" x14ac:dyDescent="0.3">
      <c r="A37" s="29"/>
      <c r="B37" s="30"/>
      <c r="C37" s="3"/>
      <c r="D37" s="30"/>
      <c r="E37" s="5"/>
      <c r="F37" s="26" t="s">
        <v>24</v>
      </c>
      <c r="G37" s="27">
        <f>SUM(G29:G36)</f>
        <v>185215.01999999996</v>
      </c>
    </row>
    <row r="38" spans="1:8" s="1" customFormat="1" ht="15" x14ac:dyDescent="0.3">
      <c r="B38" s="28"/>
      <c r="F38" s="5"/>
      <c r="G38" s="11"/>
    </row>
    <row r="44" spans="1:8" x14ac:dyDescent="0.2">
      <c r="B44" s="35"/>
    </row>
    <row r="46" spans="1:8" ht="15" customHeight="1" x14ac:dyDescent="0.3">
      <c r="A46" s="1"/>
      <c r="B46" s="37"/>
      <c r="C46" s="37"/>
      <c r="D46" s="37"/>
      <c r="E46" s="47"/>
      <c r="F46" s="212" t="s">
        <v>0</v>
      </c>
      <c r="G46" s="212"/>
    </row>
    <row r="47" spans="1:8" ht="18.75" x14ac:dyDescent="0.3">
      <c r="A47" s="209" t="s">
        <v>1</v>
      </c>
      <c r="B47" s="209"/>
      <c r="C47" s="209"/>
      <c r="D47" s="209"/>
      <c r="E47" s="209"/>
      <c r="F47" s="47"/>
      <c r="G47" s="47"/>
    </row>
    <row r="48" spans="1:8" ht="15" x14ac:dyDescent="0.3">
      <c r="A48" s="1"/>
      <c r="B48" s="37"/>
      <c r="C48" s="37"/>
      <c r="D48" s="37"/>
      <c r="E48" s="47"/>
      <c r="F48" s="47"/>
      <c r="G48" s="48"/>
    </row>
    <row r="49" spans="1:10" ht="15" x14ac:dyDescent="0.3">
      <c r="A49" s="1"/>
      <c r="B49" s="37"/>
      <c r="C49" s="37"/>
      <c r="D49" s="37"/>
      <c r="E49" s="47"/>
      <c r="F49" s="47"/>
      <c r="G49" s="48"/>
    </row>
    <row r="50" spans="1:10" ht="18" x14ac:dyDescent="0.25">
      <c r="A50" s="210" t="s">
        <v>2347</v>
      </c>
      <c r="B50" s="210"/>
      <c r="C50" s="210"/>
      <c r="D50" s="210"/>
      <c r="E50" s="210"/>
      <c r="F50" s="210"/>
      <c r="G50" s="210"/>
    </row>
    <row r="51" spans="1:10" ht="15" x14ac:dyDescent="0.3">
      <c r="A51" s="1"/>
      <c r="B51" s="49"/>
      <c r="C51" s="49"/>
      <c r="D51" s="49"/>
      <c r="E51" s="49"/>
      <c r="F51" s="50"/>
      <c r="G51" s="47"/>
    </row>
    <row r="52" spans="1:10" x14ac:dyDescent="0.2">
      <c r="A52" s="51" t="s">
        <v>2</v>
      </c>
      <c r="B52" s="51" t="s">
        <v>3</v>
      </c>
      <c r="C52" s="51" t="s">
        <v>4</v>
      </c>
      <c r="D52" s="51" t="s">
        <v>5</v>
      </c>
      <c r="E52" s="51" t="s">
        <v>6</v>
      </c>
      <c r="F52" s="51" t="s">
        <v>146</v>
      </c>
      <c r="G52" s="13" t="s">
        <v>8</v>
      </c>
    </row>
    <row r="53" spans="1:10" ht="15" x14ac:dyDescent="0.3">
      <c r="A53" s="52">
        <v>1</v>
      </c>
      <c r="B53" s="53">
        <v>40527</v>
      </c>
      <c r="C53" s="17" t="s">
        <v>2348</v>
      </c>
      <c r="D53" s="54">
        <v>40588</v>
      </c>
      <c r="E53" s="19" t="s">
        <v>669</v>
      </c>
      <c r="F53" s="20" t="s">
        <v>1438</v>
      </c>
      <c r="G53" s="21">
        <v>16771.5</v>
      </c>
      <c r="H53" s="1" t="s">
        <v>2349</v>
      </c>
      <c r="J53" t="s">
        <v>27</v>
      </c>
    </row>
    <row r="54" spans="1:10" ht="30" x14ac:dyDescent="0.3">
      <c r="A54" s="52">
        <v>2</v>
      </c>
      <c r="B54" s="53">
        <v>39512</v>
      </c>
      <c r="C54" s="17" t="s">
        <v>2350</v>
      </c>
      <c r="D54" s="54">
        <v>40592</v>
      </c>
      <c r="E54" s="19" t="s">
        <v>2351</v>
      </c>
      <c r="F54" s="20" t="s">
        <v>2352</v>
      </c>
      <c r="G54" s="21">
        <v>1245.8499999999999</v>
      </c>
      <c r="H54" s="1" t="s">
        <v>2353</v>
      </c>
      <c r="J54" t="s">
        <v>27</v>
      </c>
    </row>
    <row r="55" spans="1:10" ht="15" x14ac:dyDescent="0.3">
      <c r="A55" s="1"/>
      <c r="B55" s="37"/>
      <c r="C55" s="37"/>
      <c r="D55" s="37"/>
      <c r="E55" s="47"/>
      <c r="F55" s="51" t="s">
        <v>155</v>
      </c>
      <c r="G55" s="27">
        <f>SUM(G53:G54)</f>
        <v>18017.349999999999</v>
      </c>
    </row>
  </sheetData>
  <sheetProtection selectLockedCells="1" selectUnlockedCells="1"/>
  <mergeCells count="7">
    <mergeCell ref="A50:G50"/>
    <mergeCell ref="F1:G1"/>
    <mergeCell ref="A5:G5"/>
    <mergeCell ref="F22:G22"/>
    <mergeCell ref="A26:G26"/>
    <mergeCell ref="F46:G46"/>
    <mergeCell ref="A47:E47"/>
  </mergeCells>
  <printOptions horizontalCentered="1"/>
  <pageMargins left="0" right="0" top="0.98402777777777772" bottom="0.98402777777777772" header="0.51180555555555551" footer="0.51180555555555551"/>
  <pageSetup paperSize="9" scale="85" firstPageNumber="0" orientation="portrait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6"/>
  <dimension ref="A1:J82"/>
  <sheetViews>
    <sheetView topLeftCell="A64" workbookViewId="0">
      <selection activeCell="H39" sqref="H39"/>
    </sheetView>
  </sheetViews>
  <sheetFormatPr baseColWidth="10" defaultColWidth="10.7109375" defaultRowHeight="12.75" x14ac:dyDescent="0.2"/>
  <cols>
    <col min="1" max="1" width="3.28515625" customWidth="1"/>
    <col min="2" max="2" width="13.28515625" customWidth="1"/>
    <col min="4" max="4" width="13.5703125" customWidth="1"/>
    <col min="5" max="5" width="20.85546875" customWidth="1"/>
    <col min="6" max="6" width="23" customWidth="1"/>
    <col min="7" max="7" width="15.7109375" customWidth="1"/>
    <col min="8" max="8" width="12" customWidth="1"/>
  </cols>
  <sheetData>
    <row r="1" spans="1:10" ht="15" customHeight="1" x14ac:dyDescent="0.3">
      <c r="A1" s="1"/>
      <c r="B1" s="2"/>
      <c r="C1" s="3"/>
      <c r="D1" s="4"/>
      <c r="E1" s="5"/>
      <c r="F1" s="207" t="s">
        <v>0</v>
      </c>
      <c r="G1" s="207"/>
    </row>
    <row r="2" spans="1:10" ht="18.75" x14ac:dyDescent="0.3">
      <c r="A2" s="7" t="s">
        <v>1</v>
      </c>
      <c r="B2" s="7"/>
      <c r="C2" s="3"/>
      <c r="D2" s="4"/>
      <c r="E2" s="5"/>
      <c r="F2" s="5"/>
      <c r="G2" s="8"/>
    </row>
    <row r="3" spans="1:10" ht="15" x14ac:dyDescent="0.3">
      <c r="A3" s="1"/>
      <c r="B3" s="2"/>
      <c r="C3" s="3"/>
      <c r="D3" s="4"/>
      <c r="E3" s="5"/>
      <c r="F3" s="5"/>
      <c r="G3" s="8"/>
    </row>
    <row r="4" spans="1:10" ht="15" x14ac:dyDescent="0.3">
      <c r="A4" s="1"/>
      <c r="B4" s="2"/>
      <c r="C4" s="3"/>
      <c r="D4" s="4"/>
      <c r="E4" s="5"/>
      <c r="F4" s="5"/>
      <c r="G4" s="8"/>
    </row>
    <row r="5" spans="1:10" ht="18" x14ac:dyDescent="0.25">
      <c r="A5" s="208" t="s">
        <v>2354</v>
      </c>
      <c r="B5" s="208"/>
      <c r="C5" s="208"/>
      <c r="D5" s="208"/>
      <c r="E5" s="208"/>
      <c r="F5" s="208"/>
      <c r="G5" s="208"/>
    </row>
    <row r="6" spans="1:10" ht="15" x14ac:dyDescent="0.3">
      <c r="A6" s="1"/>
      <c r="B6" s="9"/>
      <c r="C6" s="9"/>
      <c r="D6" s="9"/>
      <c r="E6" s="9"/>
      <c r="F6" s="10"/>
      <c r="G6" s="11"/>
    </row>
    <row r="7" spans="1:10" x14ac:dyDescent="0.2">
      <c r="A7" s="12" t="s">
        <v>2</v>
      </c>
      <c r="B7" s="12" t="s">
        <v>3</v>
      </c>
      <c r="C7" s="13" t="s">
        <v>4</v>
      </c>
      <c r="D7" s="14" t="s">
        <v>5</v>
      </c>
      <c r="E7" s="13" t="s">
        <v>6</v>
      </c>
      <c r="F7" s="13" t="s">
        <v>7</v>
      </c>
      <c r="G7" s="13" t="s">
        <v>32</v>
      </c>
    </row>
    <row r="8" spans="1:10" ht="30" x14ac:dyDescent="0.3">
      <c r="A8" s="15">
        <v>1</v>
      </c>
      <c r="B8" s="16">
        <v>40967</v>
      </c>
      <c r="C8" s="33" t="s">
        <v>2355</v>
      </c>
      <c r="D8" s="18">
        <f>+B8+15</f>
        <v>40982</v>
      </c>
      <c r="E8" s="19" t="s">
        <v>233</v>
      </c>
      <c r="F8" s="19" t="s">
        <v>1862</v>
      </c>
      <c r="G8" s="21">
        <f>138+2.76</f>
        <v>140.76</v>
      </c>
    </row>
    <row r="9" spans="1:10" ht="30" x14ac:dyDescent="0.3">
      <c r="A9" s="15">
        <v>2</v>
      </c>
      <c r="B9" s="16">
        <v>40976</v>
      </c>
      <c r="C9" s="33" t="s">
        <v>2356</v>
      </c>
      <c r="D9" s="18">
        <f>+B9+15</f>
        <v>40991</v>
      </c>
      <c r="E9" s="19" t="s">
        <v>233</v>
      </c>
      <c r="F9" s="19" t="s">
        <v>1862</v>
      </c>
      <c r="G9" s="21">
        <f>138+2.76</f>
        <v>140.76</v>
      </c>
    </row>
    <row r="10" spans="1:10" ht="30" x14ac:dyDescent="0.3">
      <c r="A10" s="15">
        <v>3</v>
      </c>
      <c r="B10" s="16">
        <v>40974</v>
      </c>
      <c r="C10" s="33" t="s">
        <v>2357</v>
      </c>
      <c r="D10" s="18">
        <f>+B10+15</f>
        <v>40989</v>
      </c>
      <c r="E10" s="19" t="s">
        <v>233</v>
      </c>
      <c r="F10" s="19" t="s">
        <v>1862</v>
      </c>
      <c r="G10" s="21">
        <f>138+2.76</f>
        <v>140.76</v>
      </c>
      <c r="J10" s="35"/>
    </row>
    <row r="11" spans="1:10" ht="30" x14ac:dyDescent="0.3">
      <c r="A11" s="15">
        <v>4</v>
      </c>
      <c r="B11" s="16">
        <v>40969</v>
      </c>
      <c r="C11" s="33" t="s">
        <v>2358</v>
      </c>
      <c r="D11" s="18">
        <f>+B11+15</f>
        <v>40984</v>
      </c>
      <c r="E11" s="19" t="s">
        <v>309</v>
      </c>
      <c r="F11" s="19" t="s">
        <v>2359</v>
      </c>
      <c r="G11" s="21">
        <v>316.32</v>
      </c>
      <c r="J11" s="35"/>
    </row>
    <row r="12" spans="1:10" ht="30" x14ac:dyDescent="0.3">
      <c r="A12" s="15">
        <v>5</v>
      </c>
      <c r="B12" s="16">
        <v>40975</v>
      </c>
      <c r="C12" s="33" t="s">
        <v>2360</v>
      </c>
      <c r="D12" s="18">
        <f>+B12</f>
        <v>40975</v>
      </c>
      <c r="E12" s="19" t="s">
        <v>364</v>
      </c>
      <c r="F12" s="19" t="s">
        <v>2361</v>
      </c>
      <c r="G12" s="21">
        <v>796.5</v>
      </c>
    </row>
    <row r="13" spans="1:10" ht="45" x14ac:dyDescent="0.3">
      <c r="A13" s="15">
        <v>6</v>
      </c>
      <c r="B13" s="16">
        <v>40981</v>
      </c>
      <c r="C13" s="33" t="s">
        <v>2362</v>
      </c>
      <c r="D13" s="18">
        <f>+B13</f>
        <v>40981</v>
      </c>
      <c r="E13" s="19" t="s">
        <v>70</v>
      </c>
      <c r="F13" s="19" t="s">
        <v>71</v>
      </c>
      <c r="G13" s="21">
        <v>7500</v>
      </c>
    </row>
    <row r="14" spans="1:10" ht="45" x14ac:dyDescent="0.3">
      <c r="A14" s="15">
        <v>7</v>
      </c>
      <c r="B14" s="16">
        <v>40969</v>
      </c>
      <c r="C14" s="33" t="s">
        <v>2363</v>
      </c>
      <c r="D14" s="18">
        <f>+B14+30</f>
        <v>40999</v>
      </c>
      <c r="E14" s="19" t="s">
        <v>1553</v>
      </c>
      <c r="F14" s="19" t="s">
        <v>2364</v>
      </c>
      <c r="G14" s="21">
        <v>106.2</v>
      </c>
    </row>
    <row r="15" spans="1:10" ht="45" x14ac:dyDescent="0.3">
      <c r="A15" s="15">
        <v>8</v>
      </c>
      <c r="B15" s="16">
        <v>40971</v>
      </c>
      <c r="C15" s="33" t="s">
        <v>2365</v>
      </c>
      <c r="D15" s="18">
        <f>+B15</f>
        <v>40971</v>
      </c>
      <c r="E15" s="19" t="s">
        <v>2366</v>
      </c>
      <c r="F15" s="19" t="s">
        <v>2367</v>
      </c>
      <c r="G15" s="21">
        <v>12352.33</v>
      </c>
    </row>
    <row r="16" spans="1:10" ht="30" x14ac:dyDescent="0.3">
      <c r="A16" s="15">
        <v>9</v>
      </c>
      <c r="B16" s="16">
        <v>40978</v>
      </c>
      <c r="C16" s="33" t="s">
        <v>2368</v>
      </c>
      <c r="D16" s="18">
        <f>+B16+15</f>
        <v>40993</v>
      </c>
      <c r="E16" s="19" t="s">
        <v>17</v>
      </c>
      <c r="F16" s="19" t="s">
        <v>2369</v>
      </c>
      <c r="G16" s="21">
        <v>778.8</v>
      </c>
    </row>
    <row r="17" spans="1:7" ht="30" x14ac:dyDescent="0.3">
      <c r="A17" s="15">
        <v>10</v>
      </c>
      <c r="B17" s="16">
        <v>40969</v>
      </c>
      <c r="C17" s="33" t="s">
        <v>2370</v>
      </c>
      <c r="D17" s="18">
        <f>+B17+30</f>
        <v>40999</v>
      </c>
      <c r="E17" s="19" t="s">
        <v>1462</v>
      </c>
      <c r="F17" s="19" t="s">
        <v>2371</v>
      </c>
      <c r="G17" s="21">
        <v>1283.25</v>
      </c>
    </row>
    <row r="18" spans="1:7" ht="30" x14ac:dyDescent="0.3">
      <c r="A18" s="15">
        <v>11</v>
      </c>
      <c r="B18" s="16">
        <v>40969</v>
      </c>
      <c r="C18" s="33" t="s">
        <v>2372</v>
      </c>
      <c r="D18" s="18">
        <f>+B18+30</f>
        <v>40999</v>
      </c>
      <c r="E18" s="19" t="s">
        <v>1462</v>
      </c>
      <c r="F18" s="19" t="s">
        <v>2371</v>
      </c>
      <c r="G18" s="21">
        <v>1283.25</v>
      </c>
    </row>
    <row r="19" spans="1:7" ht="45" x14ac:dyDescent="0.3">
      <c r="A19" s="15">
        <v>12</v>
      </c>
      <c r="B19" s="16">
        <v>40975</v>
      </c>
      <c r="C19" s="33" t="s">
        <v>2373</v>
      </c>
      <c r="D19" s="18">
        <f>+B19+15</f>
        <v>40990</v>
      </c>
      <c r="E19" s="19" t="s">
        <v>2374</v>
      </c>
      <c r="F19" s="19" t="s">
        <v>2375</v>
      </c>
      <c r="G19" s="21">
        <v>297.36</v>
      </c>
    </row>
    <row r="20" spans="1:7" ht="45" x14ac:dyDescent="0.3">
      <c r="A20" s="15">
        <v>13</v>
      </c>
      <c r="B20" s="16">
        <v>40969</v>
      </c>
      <c r="C20" s="33" t="s">
        <v>2376</v>
      </c>
      <c r="D20" s="18">
        <f>+B20+30</f>
        <v>40999</v>
      </c>
      <c r="E20" s="19" t="s">
        <v>1458</v>
      </c>
      <c r="F20" s="19" t="s">
        <v>2377</v>
      </c>
      <c r="G20" s="21">
        <v>941.64</v>
      </c>
    </row>
    <row r="21" spans="1:7" ht="30" x14ac:dyDescent="0.3">
      <c r="A21" s="15">
        <v>14</v>
      </c>
      <c r="B21" s="16">
        <v>40970</v>
      </c>
      <c r="C21" s="33" t="s">
        <v>2378</v>
      </c>
      <c r="D21" s="18">
        <f>+B21+15</f>
        <v>40985</v>
      </c>
      <c r="E21" s="19" t="s">
        <v>787</v>
      </c>
      <c r="F21" s="19" t="s">
        <v>2379</v>
      </c>
      <c r="G21" s="21">
        <v>170</v>
      </c>
    </row>
    <row r="22" spans="1:7" ht="30" x14ac:dyDescent="0.3">
      <c r="A22" s="15">
        <v>15</v>
      </c>
      <c r="B22" s="16">
        <v>40969</v>
      </c>
      <c r="C22" s="33" t="s">
        <v>2380</v>
      </c>
      <c r="D22" s="18">
        <f>+B22+30</f>
        <v>40999</v>
      </c>
      <c r="E22" s="19" t="s">
        <v>67</v>
      </c>
      <c r="F22" s="19" t="s">
        <v>2381</v>
      </c>
      <c r="G22" s="21">
        <v>2207.85</v>
      </c>
    </row>
    <row r="23" spans="1:7" ht="45" x14ac:dyDescent="0.3">
      <c r="A23" s="15">
        <v>16</v>
      </c>
      <c r="B23" s="16">
        <v>40962</v>
      </c>
      <c r="C23" s="33" t="s">
        <v>2382</v>
      </c>
      <c r="D23" s="18">
        <f>+B23</f>
        <v>40962</v>
      </c>
      <c r="E23" s="19" t="s">
        <v>67</v>
      </c>
      <c r="F23" s="19" t="s">
        <v>2383</v>
      </c>
      <c r="G23" s="21">
        <v>-116.21</v>
      </c>
    </row>
    <row r="24" spans="1:7" ht="30" x14ac:dyDescent="0.3">
      <c r="A24" s="15">
        <v>17</v>
      </c>
      <c r="B24" s="16">
        <v>40980</v>
      </c>
      <c r="C24" s="33" t="s">
        <v>2384</v>
      </c>
      <c r="D24" s="18">
        <f>+B24+15</f>
        <v>40995</v>
      </c>
      <c r="E24" s="19" t="s">
        <v>894</v>
      </c>
      <c r="F24" s="19" t="s">
        <v>50</v>
      </c>
      <c r="G24" s="21">
        <v>386.5</v>
      </c>
    </row>
    <row r="25" spans="1:7" ht="30" x14ac:dyDescent="0.3">
      <c r="A25" s="15">
        <v>18</v>
      </c>
      <c r="B25" s="16">
        <v>40980</v>
      </c>
      <c r="C25" s="33" t="s">
        <v>2385</v>
      </c>
      <c r="D25" s="18">
        <f>+B25+15</f>
        <v>40995</v>
      </c>
      <c r="E25" s="19" t="s">
        <v>894</v>
      </c>
      <c r="F25" s="19" t="s">
        <v>50</v>
      </c>
      <c r="G25" s="21">
        <v>309.3</v>
      </c>
    </row>
    <row r="26" spans="1:7" ht="15" x14ac:dyDescent="0.2">
      <c r="A26" s="22"/>
      <c r="B26" s="22"/>
      <c r="C26" s="23"/>
      <c r="D26" s="24"/>
      <c r="E26" s="25"/>
      <c r="F26" s="26" t="s">
        <v>24</v>
      </c>
      <c r="G26" s="36">
        <f>SUM(G8:G25)</f>
        <v>29035.37</v>
      </c>
    </row>
    <row r="30" spans="1:7" ht="12.75" customHeight="1" x14ac:dyDescent="0.2">
      <c r="F30" s="207" t="s">
        <v>0</v>
      </c>
      <c r="G30" s="207"/>
    </row>
    <row r="31" spans="1:7" ht="18.75" x14ac:dyDescent="0.3">
      <c r="A31" s="31" t="s">
        <v>1</v>
      </c>
      <c r="B31" s="29"/>
      <c r="C31" s="37"/>
      <c r="D31" s="30"/>
      <c r="E31" s="5"/>
      <c r="F31" s="29"/>
      <c r="G31" s="29"/>
    </row>
    <row r="32" spans="1:7" ht="15" x14ac:dyDescent="0.3">
      <c r="A32" s="29"/>
      <c r="B32" s="30"/>
      <c r="C32" s="37"/>
      <c r="D32" s="30"/>
      <c r="E32" s="5"/>
      <c r="F32" s="5"/>
      <c r="G32" s="32"/>
    </row>
    <row r="33" spans="1:9" ht="18" x14ac:dyDescent="0.25">
      <c r="A33" s="208" t="s">
        <v>2386</v>
      </c>
      <c r="B33" s="208"/>
      <c r="C33" s="208"/>
      <c r="D33" s="208"/>
      <c r="E33" s="208"/>
      <c r="F33" s="208"/>
      <c r="G33" s="208"/>
    </row>
    <row r="34" spans="1:9" ht="15" x14ac:dyDescent="0.3">
      <c r="A34" s="29"/>
      <c r="B34" s="9"/>
      <c r="C34" s="9"/>
      <c r="D34" s="9"/>
      <c r="E34" s="9"/>
      <c r="F34" s="10"/>
      <c r="G34" s="11"/>
    </row>
    <row r="35" spans="1:9" x14ac:dyDescent="0.2">
      <c r="A35" s="12" t="s">
        <v>2</v>
      </c>
      <c r="B35" s="12" t="s">
        <v>3</v>
      </c>
      <c r="C35" s="13" t="s">
        <v>4</v>
      </c>
      <c r="D35" s="14" t="s">
        <v>25</v>
      </c>
      <c r="E35" s="13" t="s">
        <v>6</v>
      </c>
      <c r="F35" s="13" t="s">
        <v>7</v>
      </c>
      <c r="G35" s="13" t="s">
        <v>32</v>
      </c>
    </row>
    <row r="36" spans="1:9" ht="30" x14ac:dyDescent="0.3">
      <c r="A36" s="15">
        <v>1</v>
      </c>
      <c r="B36" s="16">
        <v>40996</v>
      </c>
      <c r="C36" s="33" t="s">
        <v>2387</v>
      </c>
      <c r="D36" s="18" t="s">
        <v>2388</v>
      </c>
      <c r="E36" s="19" t="s">
        <v>208</v>
      </c>
      <c r="F36" s="19" t="s">
        <v>2389</v>
      </c>
      <c r="G36" s="21">
        <v>217.15</v>
      </c>
      <c r="H36" s="45" t="s">
        <v>27</v>
      </c>
      <c r="I36" s="35"/>
    </row>
    <row r="37" spans="1:9" ht="30" x14ac:dyDescent="0.3">
      <c r="A37" s="15">
        <v>2</v>
      </c>
      <c r="B37" s="16">
        <v>40994</v>
      </c>
      <c r="C37" s="33" t="s">
        <v>2390</v>
      </c>
      <c r="D37" s="18" t="s">
        <v>2391</v>
      </c>
      <c r="E37" s="19" t="s">
        <v>208</v>
      </c>
      <c r="F37" s="19" t="s">
        <v>2392</v>
      </c>
      <c r="G37" s="21">
        <v>823.97</v>
      </c>
      <c r="H37" s="45" t="s">
        <v>27</v>
      </c>
      <c r="I37" s="35"/>
    </row>
    <row r="38" spans="1:9" ht="30" x14ac:dyDescent="0.3">
      <c r="A38" s="15">
        <v>3</v>
      </c>
      <c r="B38" s="16">
        <v>40994</v>
      </c>
      <c r="C38" s="33" t="s">
        <v>2393</v>
      </c>
      <c r="D38" s="18" t="s">
        <v>2394</v>
      </c>
      <c r="E38" s="19" t="s">
        <v>208</v>
      </c>
      <c r="F38" s="19" t="s">
        <v>2395</v>
      </c>
      <c r="G38" s="21">
        <v>6970.38</v>
      </c>
      <c r="H38" s="45" t="s">
        <v>27</v>
      </c>
      <c r="I38" s="35"/>
    </row>
    <row r="39" spans="1:9" ht="90" x14ac:dyDescent="0.3">
      <c r="A39" s="15">
        <v>4</v>
      </c>
      <c r="B39" s="16">
        <v>40996</v>
      </c>
      <c r="C39" s="33" t="s">
        <v>2396</v>
      </c>
      <c r="D39" s="18" t="s">
        <v>2397</v>
      </c>
      <c r="E39" s="19" t="s">
        <v>208</v>
      </c>
      <c r="F39" s="19" t="s">
        <v>2398</v>
      </c>
      <c r="G39" s="21">
        <f>122.9+198.95+238+118.7+464.9</f>
        <v>1143.45</v>
      </c>
      <c r="H39" s="59" t="s">
        <v>27</v>
      </c>
      <c r="I39" s="35"/>
    </row>
    <row r="40" spans="1:9" ht="60" x14ac:dyDescent="0.3">
      <c r="A40" s="15">
        <v>5</v>
      </c>
      <c r="B40" s="16">
        <v>40984</v>
      </c>
      <c r="C40" s="33" t="s">
        <v>2399</v>
      </c>
      <c r="D40" s="18" t="s">
        <v>2400</v>
      </c>
      <c r="E40" s="19" t="s">
        <v>401</v>
      </c>
      <c r="F40" s="19" t="s">
        <v>2401</v>
      </c>
      <c r="G40" s="21">
        <f>170.42+62.71</f>
        <v>233.13</v>
      </c>
      <c r="H40" s="59" t="s">
        <v>27</v>
      </c>
    </row>
    <row r="41" spans="1:9" ht="39" x14ac:dyDescent="0.3">
      <c r="A41" s="15">
        <v>6</v>
      </c>
      <c r="B41" s="16">
        <v>40976</v>
      </c>
      <c r="C41" s="33" t="s">
        <v>2402</v>
      </c>
      <c r="D41" s="18" t="s">
        <v>2403</v>
      </c>
      <c r="E41" s="19" t="s">
        <v>2404</v>
      </c>
      <c r="F41" s="19" t="s">
        <v>2405</v>
      </c>
      <c r="G41" s="21">
        <f>380+1143</f>
        <v>1523</v>
      </c>
      <c r="H41" s="45" t="s">
        <v>27</v>
      </c>
    </row>
    <row r="42" spans="1:9" ht="45" x14ac:dyDescent="0.3">
      <c r="A42" s="15">
        <v>7</v>
      </c>
      <c r="B42" s="16">
        <v>41003</v>
      </c>
      <c r="C42" s="33" t="s">
        <v>2406</v>
      </c>
      <c r="D42" s="18" t="s">
        <v>2407</v>
      </c>
      <c r="E42" s="19" t="s">
        <v>131</v>
      </c>
      <c r="F42" s="19" t="s">
        <v>2408</v>
      </c>
      <c r="G42" s="21">
        <f>1747.5+4957.5</f>
        <v>6705</v>
      </c>
      <c r="H42" s="45" t="s">
        <v>27</v>
      </c>
    </row>
    <row r="43" spans="1:9" ht="39" x14ac:dyDescent="0.3">
      <c r="A43" s="15">
        <v>8</v>
      </c>
      <c r="B43" s="16">
        <v>40980</v>
      </c>
      <c r="C43" s="33" t="s">
        <v>2409</v>
      </c>
      <c r="D43" s="18" t="s">
        <v>2410</v>
      </c>
      <c r="E43" s="19" t="s">
        <v>2063</v>
      </c>
      <c r="F43" s="19" t="s">
        <v>2170</v>
      </c>
      <c r="G43" s="21">
        <f>7009.2+613.6</f>
        <v>7622.8</v>
      </c>
      <c r="H43" s="45" t="s">
        <v>27</v>
      </c>
    </row>
    <row r="44" spans="1:9" ht="45" x14ac:dyDescent="0.3">
      <c r="A44" s="15">
        <v>9</v>
      </c>
      <c r="B44" s="16">
        <v>40997</v>
      </c>
      <c r="C44" s="33" t="s">
        <v>1406</v>
      </c>
      <c r="D44" s="18" t="s">
        <v>2411</v>
      </c>
      <c r="E44" s="19" t="s">
        <v>121</v>
      </c>
      <c r="F44" s="19" t="s">
        <v>2412</v>
      </c>
      <c r="G44" s="21">
        <f>872258+698</f>
        <v>872956</v>
      </c>
      <c r="H44" t="s">
        <v>27</v>
      </c>
    </row>
    <row r="45" spans="1:9" ht="15" x14ac:dyDescent="0.3">
      <c r="A45" s="29"/>
      <c r="B45" s="30"/>
      <c r="C45" s="37"/>
      <c r="D45" s="30"/>
      <c r="E45" s="5"/>
      <c r="F45" s="46" t="s">
        <v>24</v>
      </c>
      <c r="G45" s="36">
        <f>SUM(G36:G44)</f>
        <v>898194.88</v>
      </c>
    </row>
    <row r="48" spans="1:9" ht="12.75" customHeight="1" x14ac:dyDescent="0.2">
      <c r="F48" s="207" t="s">
        <v>0</v>
      </c>
      <c r="G48" s="207"/>
    </row>
    <row r="49" spans="1:9" ht="18.75" x14ac:dyDescent="0.3">
      <c r="A49" s="31" t="s">
        <v>1</v>
      </c>
      <c r="B49" s="29"/>
      <c r="C49" s="37"/>
      <c r="D49" s="30"/>
      <c r="E49" s="5"/>
      <c r="F49" s="29"/>
      <c r="G49" s="29"/>
    </row>
    <row r="50" spans="1:9" ht="15" x14ac:dyDescent="0.3">
      <c r="A50" s="29"/>
      <c r="B50" s="30"/>
      <c r="C50" s="37"/>
      <c r="D50" s="30"/>
      <c r="E50" s="5"/>
      <c r="F50" s="5"/>
      <c r="G50" s="32"/>
    </row>
    <row r="51" spans="1:9" ht="18" x14ac:dyDescent="0.25">
      <c r="A51" s="208" t="s">
        <v>2413</v>
      </c>
      <c r="B51" s="208"/>
      <c r="C51" s="208"/>
      <c r="D51" s="208"/>
      <c r="E51" s="208"/>
      <c r="F51" s="208"/>
      <c r="G51" s="208"/>
    </row>
    <row r="52" spans="1:9" ht="18" x14ac:dyDescent="0.25">
      <c r="A52" s="208" t="s">
        <v>157</v>
      </c>
      <c r="B52" s="208"/>
      <c r="C52" s="208"/>
      <c r="D52" s="208"/>
      <c r="E52" s="208"/>
      <c r="F52" s="208"/>
      <c r="G52" s="208"/>
    </row>
    <row r="53" spans="1:9" ht="15" x14ac:dyDescent="0.3">
      <c r="A53" s="29"/>
      <c r="B53" s="9"/>
      <c r="C53" s="9"/>
      <c r="D53" s="9"/>
      <c r="E53" s="9"/>
      <c r="F53" s="10"/>
      <c r="G53" s="11"/>
    </row>
    <row r="54" spans="1:9" x14ac:dyDescent="0.2">
      <c r="A54" s="12" t="s">
        <v>2</v>
      </c>
      <c r="B54" s="12" t="s">
        <v>3</v>
      </c>
      <c r="C54" s="13" t="s">
        <v>4</v>
      </c>
      <c r="D54" s="14" t="s">
        <v>25</v>
      </c>
      <c r="E54" s="13" t="s">
        <v>6</v>
      </c>
      <c r="F54" s="13" t="s">
        <v>7</v>
      </c>
      <c r="G54" s="13" t="s">
        <v>32</v>
      </c>
      <c r="H54" s="13" t="s">
        <v>8</v>
      </c>
    </row>
    <row r="55" spans="1:9" ht="75" x14ac:dyDescent="0.3">
      <c r="A55" s="15">
        <v>1</v>
      </c>
      <c r="B55" s="16">
        <v>40995</v>
      </c>
      <c r="C55" s="33" t="s">
        <v>1406</v>
      </c>
      <c r="D55" s="18" t="s">
        <v>2414</v>
      </c>
      <c r="E55" s="19" t="s">
        <v>616</v>
      </c>
      <c r="F55" s="19" t="s">
        <v>2415</v>
      </c>
      <c r="G55" s="21">
        <v>8189.2</v>
      </c>
      <c r="H55" s="21">
        <v>0</v>
      </c>
      <c r="I55" t="s">
        <v>27</v>
      </c>
    </row>
    <row r="56" spans="1:9" ht="60" x14ac:dyDescent="0.3">
      <c r="A56" s="15">
        <v>2</v>
      </c>
      <c r="B56" s="16">
        <v>40995</v>
      </c>
      <c r="C56" s="33" t="s">
        <v>1406</v>
      </c>
      <c r="D56" s="18" t="s">
        <v>2416</v>
      </c>
      <c r="E56" s="19" t="s">
        <v>616</v>
      </c>
      <c r="F56" s="19" t="s">
        <v>2417</v>
      </c>
      <c r="G56" s="21">
        <v>0</v>
      </c>
      <c r="H56" s="21">
        <v>3400</v>
      </c>
      <c r="I56" t="s">
        <v>27</v>
      </c>
    </row>
    <row r="57" spans="1:9" ht="60" x14ac:dyDescent="0.3">
      <c r="A57" s="15">
        <v>3</v>
      </c>
      <c r="B57" s="16">
        <v>40995</v>
      </c>
      <c r="C57" s="33" t="s">
        <v>1406</v>
      </c>
      <c r="D57" s="18" t="s">
        <v>2418</v>
      </c>
      <c r="E57" s="19" t="s">
        <v>616</v>
      </c>
      <c r="F57" s="19" t="s">
        <v>2419</v>
      </c>
      <c r="G57" s="21">
        <v>66.08</v>
      </c>
      <c r="H57" s="21">
        <v>0</v>
      </c>
      <c r="I57" t="s">
        <v>27</v>
      </c>
    </row>
    <row r="58" spans="1:9" ht="75" x14ac:dyDescent="0.3">
      <c r="A58" s="15">
        <v>4</v>
      </c>
      <c r="B58" s="16">
        <v>40995</v>
      </c>
      <c r="C58" s="33" t="s">
        <v>1406</v>
      </c>
      <c r="D58" s="18" t="s">
        <v>2420</v>
      </c>
      <c r="E58" s="19" t="s">
        <v>616</v>
      </c>
      <c r="F58" s="19" t="s">
        <v>2421</v>
      </c>
      <c r="G58" s="21">
        <v>2662.08</v>
      </c>
      <c r="H58" s="21">
        <v>0</v>
      </c>
      <c r="I58" t="s">
        <v>27</v>
      </c>
    </row>
    <row r="59" spans="1:9" ht="60" x14ac:dyDescent="0.3">
      <c r="A59" s="15">
        <v>5</v>
      </c>
      <c r="B59" s="16">
        <v>40995</v>
      </c>
      <c r="C59" s="33" t="s">
        <v>1406</v>
      </c>
      <c r="D59" s="18" t="s">
        <v>2422</v>
      </c>
      <c r="E59" s="19" t="s">
        <v>2423</v>
      </c>
      <c r="F59" s="19" t="s">
        <v>2424</v>
      </c>
      <c r="G59" s="21">
        <v>38820</v>
      </c>
      <c r="H59" s="21">
        <v>0</v>
      </c>
      <c r="I59" t="s">
        <v>27</v>
      </c>
    </row>
    <row r="60" spans="1:9" ht="60" x14ac:dyDescent="0.3">
      <c r="A60" s="15">
        <v>6</v>
      </c>
      <c r="B60" s="16">
        <v>40995</v>
      </c>
      <c r="C60" s="33" t="s">
        <v>1406</v>
      </c>
      <c r="D60" s="18" t="s">
        <v>2425</v>
      </c>
      <c r="E60" s="19" t="s">
        <v>2423</v>
      </c>
      <c r="F60" s="19" t="s">
        <v>2426</v>
      </c>
      <c r="G60" s="21">
        <v>8892</v>
      </c>
      <c r="H60" s="21">
        <v>0</v>
      </c>
      <c r="I60" t="s">
        <v>27</v>
      </c>
    </row>
    <row r="61" spans="1:9" ht="60" x14ac:dyDescent="0.3">
      <c r="A61" s="15">
        <v>7</v>
      </c>
      <c r="B61" s="16">
        <v>40995</v>
      </c>
      <c r="C61" s="33" t="s">
        <v>1406</v>
      </c>
      <c r="D61" s="18" t="s">
        <v>2427</v>
      </c>
      <c r="E61" s="19" t="s">
        <v>2423</v>
      </c>
      <c r="F61" s="19" t="s">
        <v>2428</v>
      </c>
      <c r="G61" s="21">
        <v>41438</v>
      </c>
      <c r="H61" s="21">
        <v>0</v>
      </c>
      <c r="I61" t="s">
        <v>27</v>
      </c>
    </row>
    <row r="62" spans="1:9" ht="60" x14ac:dyDescent="0.3">
      <c r="A62" s="15">
        <v>8</v>
      </c>
      <c r="B62" s="16">
        <v>40995</v>
      </c>
      <c r="C62" s="33" t="s">
        <v>1406</v>
      </c>
      <c r="D62" s="18" t="s">
        <v>2429</v>
      </c>
      <c r="E62" s="19" t="s">
        <v>2423</v>
      </c>
      <c r="F62" s="19" t="s">
        <v>2430</v>
      </c>
      <c r="G62" s="21">
        <v>7220</v>
      </c>
      <c r="H62" s="21">
        <v>0</v>
      </c>
      <c r="I62" t="s">
        <v>27</v>
      </c>
    </row>
    <row r="63" spans="1:9" ht="15" x14ac:dyDescent="0.3">
      <c r="A63" s="29"/>
      <c r="B63" s="30"/>
      <c r="C63" s="37"/>
      <c r="D63" s="30"/>
      <c r="E63" s="5"/>
      <c r="F63" s="46" t="s">
        <v>24</v>
      </c>
      <c r="G63" s="36">
        <f>SUM(G55:G62)</f>
        <v>107287.36</v>
      </c>
      <c r="H63" s="27">
        <f>SUM(H55:H62)</f>
        <v>3400</v>
      </c>
    </row>
    <row r="64" spans="1:9" x14ac:dyDescent="0.2">
      <c r="B64" s="35"/>
    </row>
    <row r="65" spans="1:9" x14ac:dyDescent="0.2">
      <c r="B65" s="35"/>
    </row>
    <row r="66" spans="1:9" x14ac:dyDescent="0.2">
      <c r="A66" s="216" t="s">
        <v>1807</v>
      </c>
      <c r="B66" s="216"/>
      <c r="C66" s="216"/>
      <c r="D66" s="216"/>
      <c r="E66" s="216"/>
      <c r="F66" s="216"/>
      <c r="G66" s="216"/>
      <c r="I66" s="35"/>
    </row>
    <row r="67" spans="1:9" x14ac:dyDescent="0.2">
      <c r="A67" s="216"/>
      <c r="B67" s="216"/>
      <c r="C67" s="216"/>
      <c r="D67" s="216"/>
      <c r="E67" s="216"/>
      <c r="F67" s="216"/>
      <c r="G67" s="216"/>
      <c r="I67" s="35"/>
    </row>
    <row r="68" spans="1:9" x14ac:dyDescent="0.2">
      <c r="A68" s="216"/>
      <c r="B68" s="216"/>
      <c r="C68" s="216"/>
      <c r="D68" s="216"/>
      <c r="E68" s="216"/>
      <c r="F68" s="216"/>
      <c r="G68" s="216"/>
    </row>
    <row r="70" spans="1:9" ht="15" customHeight="1" x14ac:dyDescent="0.3">
      <c r="A70" s="1"/>
      <c r="B70" s="2"/>
      <c r="C70" s="3"/>
      <c r="D70" s="4"/>
      <c r="E70" s="5"/>
      <c r="F70" s="207" t="s">
        <v>0</v>
      </c>
      <c r="G70" s="207"/>
    </row>
    <row r="71" spans="1:9" ht="18.75" x14ac:dyDescent="0.3">
      <c r="A71" s="7" t="s">
        <v>1</v>
      </c>
      <c r="B71" s="7"/>
      <c r="C71" s="3"/>
      <c r="D71" s="4"/>
      <c r="E71" s="5"/>
      <c r="F71" s="5"/>
      <c r="G71" s="8"/>
    </row>
    <row r="72" spans="1:9" ht="15" x14ac:dyDescent="0.3">
      <c r="A72" s="1"/>
      <c r="B72" s="2"/>
      <c r="C72" s="3"/>
      <c r="D72" s="4"/>
      <c r="E72" s="5"/>
      <c r="F72" s="5"/>
      <c r="G72" s="8"/>
    </row>
    <row r="73" spans="1:9" ht="15" x14ac:dyDescent="0.3">
      <c r="A73" s="1"/>
      <c r="B73" s="2"/>
      <c r="C73" s="3"/>
      <c r="D73" s="4"/>
      <c r="E73" s="5"/>
      <c r="F73" s="5"/>
      <c r="G73" s="8"/>
    </row>
    <row r="74" spans="1:9" ht="18" x14ac:dyDescent="0.25">
      <c r="A74" s="208" t="s">
        <v>2431</v>
      </c>
      <c r="B74" s="208"/>
      <c r="C74" s="208"/>
      <c r="D74" s="208"/>
      <c r="E74" s="208"/>
      <c r="F74" s="208"/>
      <c r="G74" s="208"/>
    </row>
    <row r="75" spans="1:9" ht="15" x14ac:dyDescent="0.3">
      <c r="A75" s="1"/>
      <c r="B75" s="9"/>
      <c r="C75" s="9"/>
      <c r="D75" s="9"/>
      <c r="E75" s="9"/>
      <c r="F75" s="10"/>
      <c r="G75" s="11"/>
    </row>
    <row r="76" spans="1:9" x14ac:dyDescent="0.2">
      <c r="A76" s="12" t="s">
        <v>2</v>
      </c>
      <c r="B76" s="12" t="s">
        <v>3</v>
      </c>
      <c r="C76" s="13" t="s">
        <v>4</v>
      </c>
      <c r="D76" s="14" t="s">
        <v>5</v>
      </c>
      <c r="E76" s="13" t="s">
        <v>6</v>
      </c>
      <c r="F76" s="13" t="s">
        <v>7</v>
      </c>
      <c r="G76" s="13" t="s">
        <v>32</v>
      </c>
    </row>
    <row r="77" spans="1:9" ht="45" x14ac:dyDescent="0.3">
      <c r="A77" s="15">
        <v>1</v>
      </c>
      <c r="B77" s="16">
        <v>40974</v>
      </c>
      <c r="C77" s="33" t="s">
        <v>2432</v>
      </c>
      <c r="D77" s="18">
        <f>+B77+15</f>
        <v>40989</v>
      </c>
      <c r="E77" s="19" t="s">
        <v>1823</v>
      </c>
      <c r="F77" s="19" t="s">
        <v>303</v>
      </c>
      <c r="G77" s="21">
        <v>283.2</v>
      </c>
    </row>
    <row r="78" spans="1:9" ht="45" x14ac:dyDescent="0.3">
      <c r="A78" s="15">
        <v>2</v>
      </c>
      <c r="B78" s="16">
        <v>40974</v>
      </c>
      <c r="C78" s="33" t="s">
        <v>2433</v>
      </c>
      <c r="D78" s="18">
        <f>+B78+15</f>
        <v>40989</v>
      </c>
      <c r="E78" s="19" t="s">
        <v>1823</v>
      </c>
      <c r="F78" s="19" t="s">
        <v>303</v>
      </c>
      <c r="G78" s="21">
        <v>306.8</v>
      </c>
    </row>
    <row r="79" spans="1:9" ht="45" x14ac:dyDescent="0.3">
      <c r="A79" s="15">
        <v>3</v>
      </c>
      <c r="B79" s="16">
        <v>40974</v>
      </c>
      <c r="C79" s="33" t="s">
        <v>2434</v>
      </c>
      <c r="D79" s="18">
        <f>+B79+15</f>
        <v>40989</v>
      </c>
      <c r="E79" s="19" t="s">
        <v>1823</v>
      </c>
      <c r="F79" s="19" t="s">
        <v>303</v>
      </c>
      <c r="G79" s="21">
        <v>283.2</v>
      </c>
    </row>
    <row r="80" spans="1:9" ht="45" x14ac:dyDescent="0.3">
      <c r="A80" s="15">
        <v>4</v>
      </c>
      <c r="B80" s="16">
        <v>40974</v>
      </c>
      <c r="C80" s="33" t="s">
        <v>2435</v>
      </c>
      <c r="D80" s="18">
        <f>+B80+15</f>
        <v>40989</v>
      </c>
      <c r="E80" s="19" t="s">
        <v>1823</v>
      </c>
      <c r="F80" s="19" t="s">
        <v>303</v>
      </c>
      <c r="G80" s="21">
        <v>354</v>
      </c>
    </row>
    <row r="81" spans="1:7" ht="45" x14ac:dyDescent="0.3">
      <c r="A81" s="15">
        <v>5</v>
      </c>
      <c r="B81" s="16">
        <v>40974</v>
      </c>
      <c r="C81" s="33" t="s">
        <v>2436</v>
      </c>
      <c r="D81" s="18">
        <f>+B81+15</f>
        <v>40989</v>
      </c>
      <c r="E81" s="19" t="s">
        <v>1823</v>
      </c>
      <c r="F81" s="19" t="s">
        <v>303</v>
      </c>
      <c r="G81" s="21">
        <v>472</v>
      </c>
    </row>
    <row r="82" spans="1:7" ht="15" x14ac:dyDescent="0.2">
      <c r="A82" s="22"/>
      <c r="B82" s="22"/>
      <c r="C82" s="23"/>
      <c r="D82" s="24"/>
      <c r="E82" s="25"/>
      <c r="F82" s="26" t="s">
        <v>24</v>
      </c>
      <c r="G82" s="36">
        <f>SUM(G77:G81)</f>
        <v>1699.2</v>
      </c>
    </row>
  </sheetData>
  <sheetProtection selectLockedCells="1" selectUnlockedCells="1"/>
  <mergeCells count="10">
    <mergeCell ref="A52:G52"/>
    <mergeCell ref="A66:G68"/>
    <mergeCell ref="F70:G70"/>
    <mergeCell ref="A74:G74"/>
    <mergeCell ref="F1:G1"/>
    <mergeCell ref="A5:G5"/>
    <mergeCell ref="F30:G30"/>
    <mergeCell ref="A33:G33"/>
    <mergeCell ref="F48:G48"/>
    <mergeCell ref="A51:G51"/>
  </mergeCells>
  <printOptions horizontalCentered="1"/>
  <pageMargins left="0" right="0" top="0.74791666666666667" bottom="0.74791666666666667" header="0.51180555555555551" footer="0.51180555555555551"/>
  <pageSetup paperSize="9" scale="80" firstPageNumber="0" orientation="portrait" horizontalDpi="300" verticalDpi="300" r:id="rId1"/>
  <headerFooter alignWithMargins="0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7"/>
  <dimension ref="A1:I66"/>
  <sheetViews>
    <sheetView workbookViewId="0">
      <selection activeCell="H39" sqref="H39"/>
    </sheetView>
  </sheetViews>
  <sheetFormatPr baseColWidth="10" defaultColWidth="10.7109375" defaultRowHeight="12.75" x14ac:dyDescent="0.2"/>
  <cols>
    <col min="1" max="1" width="4.85546875" customWidth="1"/>
    <col min="2" max="2" width="12.5703125" customWidth="1"/>
    <col min="4" max="4" width="13" customWidth="1"/>
    <col min="5" max="5" width="27.42578125" customWidth="1"/>
    <col min="6" max="6" width="28" customWidth="1"/>
    <col min="7" max="7" width="13.28515625" customWidth="1"/>
  </cols>
  <sheetData>
    <row r="1" spans="1:7" ht="15" customHeight="1" x14ac:dyDescent="0.3">
      <c r="A1" s="1"/>
      <c r="B1" s="2"/>
      <c r="C1" s="3"/>
      <c r="D1" s="4"/>
      <c r="E1" s="5"/>
      <c r="F1" s="207" t="s">
        <v>0</v>
      </c>
      <c r="G1" s="207"/>
    </row>
    <row r="2" spans="1:7" ht="18.75" x14ac:dyDescent="0.3">
      <c r="A2" s="7" t="s">
        <v>1</v>
      </c>
      <c r="B2" s="7"/>
      <c r="C2" s="3"/>
      <c r="D2" s="4"/>
      <c r="E2" s="5"/>
      <c r="F2" s="5"/>
      <c r="G2" s="8"/>
    </row>
    <row r="3" spans="1:7" ht="15" x14ac:dyDescent="0.3">
      <c r="A3" s="1"/>
      <c r="B3" s="2"/>
      <c r="C3" s="3"/>
      <c r="D3" s="4"/>
      <c r="E3" s="5"/>
      <c r="F3" s="5"/>
      <c r="G3" s="8"/>
    </row>
    <row r="4" spans="1:7" ht="15" x14ac:dyDescent="0.3">
      <c r="A4" s="1"/>
      <c r="B4" s="2"/>
      <c r="C4" s="3"/>
      <c r="D4" s="4"/>
      <c r="E4" s="5"/>
      <c r="F4" s="5"/>
      <c r="G4" s="8"/>
    </row>
    <row r="5" spans="1:7" ht="18" x14ac:dyDescent="0.25">
      <c r="A5" s="208" t="s">
        <v>2437</v>
      </c>
      <c r="B5" s="208"/>
      <c r="C5" s="208"/>
      <c r="D5" s="208"/>
      <c r="E5" s="208"/>
      <c r="F5" s="208"/>
      <c r="G5" s="208"/>
    </row>
    <row r="6" spans="1:7" ht="15" x14ac:dyDescent="0.3">
      <c r="A6" s="1"/>
      <c r="B6" s="9"/>
      <c r="C6" s="9"/>
      <c r="D6" s="9"/>
      <c r="E6" s="9"/>
      <c r="F6" s="10"/>
      <c r="G6" s="11"/>
    </row>
    <row r="7" spans="1:7" x14ac:dyDescent="0.2">
      <c r="A7" s="12" t="s">
        <v>2</v>
      </c>
      <c r="B7" s="12" t="s">
        <v>3</v>
      </c>
      <c r="C7" s="13" t="s">
        <v>4</v>
      </c>
      <c r="D7" s="14" t="s">
        <v>5</v>
      </c>
      <c r="E7" s="13" t="s">
        <v>6</v>
      </c>
      <c r="F7" s="13" t="s">
        <v>7</v>
      </c>
      <c r="G7" s="13" t="s">
        <v>8</v>
      </c>
    </row>
    <row r="8" spans="1:7" ht="15" x14ac:dyDescent="0.3">
      <c r="A8" s="15">
        <v>1</v>
      </c>
      <c r="B8" s="16">
        <v>40969</v>
      </c>
      <c r="C8" s="33" t="s">
        <v>2438</v>
      </c>
      <c r="D8" s="18">
        <f>+B8</f>
        <v>40969</v>
      </c>
      <c r="E8" s="19" t="s">
        <v>23</v>
      </c>
      <c r="F8" s="19" t="s">
        <v>2133</v>
      </c>
      <c r="G8" s="21">
        <v>566.4</v>
      </c>
    </row>
    <row r="9" spans="1:7" ht="26.25" x14ac:dyDescent="0.3">
      <c r="A9" s="15">
        <v>2</v>
      </c>
      <c r="B9" s="16">
        <v>40980</v>
      </c>
      <c r="C9" s="33" t="s">
        <v>2439</v>
      </c>
      <c r="D9" s="18">
        <f>+B9+15</f>
        <v>40995</v>
      </c>
      <c r="E9" s="19" t="s">
        <v>2135</v>
      </c>
      <c r="F9" s="19" t="s">
        <v>2440</v>
      </c>
      <c r="G9" s="21">
        <v>20.65</v>
      </c>
    </row>
    <row r="10" spans="1:7" ht="26.25" x14ac:dyDescent="0.3">
      <c r="A10" s="15">
        <v>3</v>
      </c>
      <c r="B10" s="16">
        <v>40978</v>
      </c>
      <c r="C10" s="33" t="s">
        <v>2441</v>
      </c>
      <c r="D10" s="18">
        <f>+B10+15</f>
        <v>40993</v>
      </c>
      <c r="E10" s="19" t="s">
        <v>17</v>
      </c>
      <c r="F10" s="19" t="s">
        <v>18</v>
      </c>
      <c r="G10" s="21">
        <v>317.54000000000002</v>
      </c>
    </row>
    <row r="11" spans="1:7" ht="30" x14ac:dyDescent="0.3">
      <c r="A11" s="15">
        <v>4</v>
      </c>
      <c r="B11" s="16">
        <v>40981</v>
      </c>
      <c r="C11" s="33" t="s">
        <v>2442</v>
      </c>
      <c r="D11" s="18">
        <f>+B11+15</f>
        <v>40996</v>
      </c>
      <c r="E11" s="19" t="s">
        <v>349</v>
      </c>
      <c r="F11" s="19" t="s">
        <v>2202</v>
      </c>
      <c r="G11" s="21">
        <v>205.04</v>
      </c>
    </row>
    <row r="12" spans="1:7" ht="30" x14ac:dyDescent="0.3">
      <c r="A12" s="15">
        <v>5</v>
      </c>
      <c r="B12" s="16">
        <v>40969</v>
      </c>
      <c r="C12" s="33" t="s">
        <v>2443</v>
      </c>
      <c r="D12" s="18">
        <f>+B12+30</f>
        <v>40999</v>
      </c>
      <c r="E12" s="19" t="s">
        <v>2121</v>
      </c>
      <c r="F12" s="19" t="s">
        <v>2444</v>
      </c>
      <c r="G12" s="21">
        <v>108.51</v>
      </c>
    </row>
    <row r="13" spans="1:7" ht="30" x14ac:dyDescent="0.3">
      <c r="A13" s="15">
        <v>6</v>
      </c>
      <c r="B13" s="16">
        <v>40969</v>
      </c>
      <c r="C13" s="33" t="s">
        <v>2445</v>
      </c>
      <c r="D13" s="18">
        <f>+B13+30</f>
        <v>40999</v>
      </c>
      <c r="E13" s="19" t="s">
        <v>2121</v>
      </c>
      <c r="F13" s="19" t="s">
        <v>2444</v>
      </c>
      <c r="G13" s="21">
        <v>108.51</v>
      </c>
    </row>
    <row r="14" spans="1:7" ht="30" x14ac:dyDescent="0.3">
      <c r="A14" s="15">
        <v>7</v>
      </c>
      <c r="B14" s="16">
        <v>40969</v>
      </c>
      <c r="C14" s="33" t="s">
        <v>2446</v>
      </c>
      <c r="D14" s="18">
        <f>+B14+30</f>
        <v>40999</v>
      </c>
      <c r="E14" s="19" t="s">
        <v>2121</v>
      </c>
      <c r="F14" s="19" t="s">
        <v>2444</v>
      </c>
      <c r="G14" s="21">
        <v>108.51</v>
      </c>
    </row>
    <row r="15" spans="1:7" ht="30" x14ac:dyDescent="0.3">
      <c r="A15" s="15">
        <v>8</v>
      </c>
      <c r="B15" s="16">
        <v>40980</v>
      </c>
      <c r="C15" s="33" t="s">
        <v>2447</v>
      </c>
      <c r="D15" s="18">
        <f>+B15</f>
        <v>40980</v>
      </c>
      <c r="E15" s="19" t="s">
        <v>313</v>
      </c>
      <c r="F15" s="19" t="s">
        <v>2448</v>
      </c>
      <c r="G15" s="21">
        <v>63.74</v>
      </c>
    </row>
    <row r="16" spans="1:7" ht="15" x14ac:dyDescent="0.2">
      <c r="A16" s="22"/>
      <c r="B16" s="22"/>
      <c r="C16" s="23"/>
      <c r="D16" s="24"/>
      <c r="E16" s="25"/>
      <c r="F16" s="26" t="s">
        <v>24</v>
      </c>
      <c r="G16" s="27">
        <f>SUM(G8:G15)</f>
        <v>1498.8999999999999</v>
      </c>
    </row>
    <row r="22" spans="1:8" ht="15" customHeight="1" x14ac:dyDescent="0.3">
      <c r="A22" s="29"/>
      <c r="B22" s="30"/>
      <c r="C22" s="37"/>
      <c r="D22" s="30"/>
      <c r="E22" s="5"/>
      <c r="F22" s="207" t="s">
        <v>0</v>
      </c>
      <c r="G22" s="207"/>
    </row>
    <row r="23" spans="1:8" ht="18.75" x14ac:dyDescent="0.3">
      <c r="A23" s="31" t="s">
        <v>1</v>
      </c>
      <c r="B23" s="29"/>
      <c r="C23" s="37"/>
      <c r="D23" s="30"/>
      <c r="E23" s="5"/>
      <c r="F23" s="29"/>
      <c r="G23" s="29"/>
    </row>
    <row r="24" spans="1:8" ht="15" x14ac:dyDescent="0.3">
      <c r="A24" s="29"/>
      <c r="B24" s="30"/>
      <c r="C24" s="37"/>
      <c r="D24" s="30"/>
      <c r="E24" s="5"/>
      <c r="F24" s="5"/>
      <c r="G24" s="32"/>
    </row>
    <row r="25" spans="1:8" ht="15" x14ac:dyDescent="0.3">
      <c r="A25" s="29"/>
      <c r="B25" s="30"/>
      <c r="C25" s="37"/>
      <c r="D25" s="30"/>
      <c r="E25" s="5"/>
      <c r="F25" s="5"/>
      <c r="G25" s="32"/>
    </row>
    <row r="26" spans="1:8" ht="18" x14ac:dyDescent="0.25">
      <c r="A26" s="208" t="s">
        <v>2449</v>
      </c>
      <c r="B26" s="208"/>
      <c r="C26" s="208"/>
      <c r="D26" s="208"/>
      <c r="E26" s="208"/>
      <c r="F26" s="208"/>
      <c r="G26" s="208"/>
    </row>
    <row r="27" spans="1:8" ht="15" x14ac:dyDescent="0.3">
      <c r="A27" s="29"/>
      <c r="B27" s="9"/>
      <c r="C27" s="9"/>
      <c r="D27" s="9"/>
      <c r="E27" s="9"/>
      <c r="F27" s="10"/>
      <c r="G27" s="11"/>
    </row>
    <row r="28" spans="1:8" x14ac:dyDescent="0.2">
      <c r="A28" s="12" t="s">
        <v>2</v>
      </c>
      <c r="B28" s="12" t="s">
        <v>3</v>
      </c>
      <c r="C28" s="13" t="s">
        <v>4</v>
      </c>
      <c r="D28" s="14" t="s">
        <v>25</v>
      </c>
      <c r="E28" s="13" t="s">
        <v>6</v>
      </c>
      <c r="F28" s="13" t="s">
        <v>7</v>
      </c>
      <c r="G28" s="13" t="s">
        <v>8</v>
      </c>
    </row>
    <row r="29" spans="1:8" ht="30" x14ac:dyDescent="0.3">
      <c r="A29" s="15">
        <v>1</v>
      </c>
      <c r="B29" s="16">
        <v>41000</v>
      </c>
      <c r="C29" s="33" t="s">
        <v>2450</v>
      </c>
      <c r="D29" s="18" t="s">
        <v>2451</v>
      </c>
      <c r="E29" s="19" t="s">
        <v>1918</v>
      </c>
      <c r="F29" s="19" t="s">
        <v>2452</v>
      </c>
      <c r="G29" s="21">
        <v>283.2</v>
      </c>
      <c r="H29" s="45" t="s">
        <v>27</v>
      </c>
    </row>
    <row r="30" spans="1:8" ht="30" x14ac:dyDescent="0.3">
      <c r="A30" s="15">
        <v>2</v>
      </c>
      <c r="B30" s="16">
        <v>41001</v>
      </c>
      <c r="C30" s="33" t="s">
        <v>2453</v>
      </c>
      <c r="D30" s="18" t="s">
        <v>2454</v>
      </c>
      <c r="E30" s="19" t="s">
        <v>2455</v>
      </c>
      <c r="F30" s="19" t="s">
        <v>669</v>
      </c>
      <c r="G30" s="21">
        <v>21800.5</v>
      </c>
      <c r="H30" s="45" t="s">
        <v>27</v>
      </c>
    </row>
    <row r="31" spans="1:8" x14ac:dyDescent="0.2">
      <c r="F31" s="26" t="s">
        <v>24</v>
      </c>
      <c r="G31" s="27">
        <f>SUM(G29:G30)</f>
        <v>22083.7</v>
      </c>
    </row>
    <row r="36" spans="1:9" ht="15" customHeight="1" x14ac:dyDescent="0.3">
      <c r="A36" s="29"/>
      <c r="B36" s="30"/>
      <c r="C36" s="37"/>
      <c r="D36" s="30"/>
      <c r="E36" s="5"/>
      <c r="F36" s="207" t="s">
        <v>0</v>
      </c>
      <c r="G36" s="207"/>
    </row>
    <row r="37" spans="1:9" ht="18.75" x14ac:dyDescent="0.3">
      <c r="A37" s="31" t="s">
        <v>1</v>
      </c>
      <c r="B37" s="29"/>
      <c r="C37" s="37"/>
      <c r="D37" s="30"/>
      <c r="E37" s="5"/>
      <c r="F37" s="29"/>
      <c r="G37" s="29"/>
    </row>
    <row r="38" spans="1:9" ht="15" x14ac:dyDescent="0.3">
      <c r="A38" s="29"/>
      <c r="B38" s="30"/>
      <c r="C38" s="37"/>
      <c r="D38" s="30"/>
      <c r="E38" s="5"/>
      <c r="F38" s="5"/>
      <c r="G38" s="32"/>
    </row>
    <row r="39" spans="1:9" ht="15" x14ac:dyDescent="0.3">
      <c r="A39" s="29"/>
      <c r="B39" s="30"/>
      <c r="C39" s="37"/>
      <c r="D39" s="30"/>
      <c r="E39" s="5"/>
      <c r="F39" s="5"/>
      <c r="G39" s="32"/>
    </row>
    <row r="40" spans="1:9" ht="18" x14ac:dyDescent="0.25">
      <c r="A40" s="208" t="s">
        <v>2456</v>
      </c>
      <c r="B40" s="208"/>
      <c r="C40" s="208"/>
      <c r="D40" s="208"/>
      <c r="E40" s="208"/>
      <c r="F40" s="208"/>
      <c r="G40" s="208"/>
    </row>
    <row r="41" spans="1:9" ht="15" x14ac:dyDescent="0.3">
      <c r="A41" s="29"/>
      <c r="B41" s="9"/>
      <c r="C41" s="9"/>
      <c r="D41" s="9"/>
      <c r="E41" s="9"/>
      <c r="F41" s="10"/>
      <c r="G41" s="11"/>
    </row>
    <row r="42" spans="1:9" x14ac:dyDescent="0.2">
      <c r="A42" s="12" t="s">
        <v>2</v>
      </c>
      <c r="B42" s="12" t="s">
        <v>3</v>
      </c>
      <c r="C42" s="13" t="s">
        <v>4</v>
      </c>
      <c r="D42" s="14" t="s">
        <v>5</v>
      </c>
      <c r="E42" s="13" t="s">
        <v>6</v>
      </c>
      <c r="F42" s="13" t="s">
        <v>146</v>
      </c>
      <c r="G42" s="13" t="s">
        <v>8</v>
      </c>
    </row>
    <row r="43" spans="1:9" ht="15" x14ac:dyDescent="0.3">
      <c r="A43" s="15">
        <v>1</v>
      </c>
      <c r="B43" s="16">
        <v>40945</v>
      </c>
      <c r="C43" s="33" t="s">
        <v>2457</v>
      </c>
      <c r="D43" s="18">
        <v>41008</v>
      </c>
      <c r="E43" s="19" t="s">
        <v>669</v>
      </c>
      <c r="F43" s="19" t="s">
        <v>306</v>
      </c>
      <c r="G43" s="21">
        <v>16619.41</v>
      </c>
      <c r="H43" s="45" t="s">
        <v>2458</v>
      </c>
      <c r="I43" t="s">
        <v>27</v>
      </c>
    </row>
    <row r="44" spans="1:9" x14ac:dyDescent="0.2">
      <c r="F44" s="26" t="s">
        <v>24</v>
      </c>
      <c r="G44" s="27">
        <f>SUM(G43:G43)</f>
        <v>16619.41</v>
      </c>
    </row>
    <row r="50" spans="1:7" x14ac:dyDescent="0.2">
      <c r="A50" s="216" t="s">
        <v>1807</v>
      </c>
      <c r="B50" s="216"/>
      <c r="C50" s="216"/>
      <c r="D50" s="216"/>
      <c r="E50" s="216"/>
      <c r="F50" s="216"/>
      <c r="G50" s="216"/>
    </row>
    <row r="51" spans="1:7" x14ac:dyDescent="0.2">
      <c r="A51" s="216"/>
      <c r="B51" s="216"/>
      <c r="C51" s="216"/>
      <c r="D51" s="216"/>
      <c r="E51" s="216"/>
      <c r="F51" s="216"/>
      <c r="G51" s="216"/>
    </row>
    <row r="52" spans="1:7" x14ac:dyDescent="0.2">
      <c r="A52" s="216"/>
      <c r="B52" s="216"/>
      <c r="C52" s="216"/>
      <c r="D52" s="216"/>
      <c r="E52" s="216"/>
      <c r="F52" s="216"/>
      <c r="G52" s="216"/>
    </row>
    <row r="55" spans="1:7" ht="15" customHeight="1" x14ac:dyDescent="0.3">
      <c r="A55" s="1"/>
      <c r="B55" s="2"/>
      <c r="C55" s="3"/>
      <c r="D55" s="4"/>
      <c r="E55" s="5"/>
      <c r="F55" s="207" t="s">
        <v>0</v>
      </c>
      <c r="G55" s="207"/>
    </row>
    <row r="56" spans="1:7" ht="18.75" x14ac:dyDescent="0.3">
      <c r="A56" s="7" t="s">
        <v>1</v>
      </c>
      <c r="B56" s="7"/>
      <c r="C56" s="3"/>
      <c r="D56" s="4"/>
      <c r="E56" s="5"/>
      <c r="F56" s="5"/>
      <c r="G56" s="8"/>
    </row>
    <row r="57" spans="1:7" ht="15" x14ac:dyDescent="0.3">
      <c r="A57" s="1"/>
      <c r="B57" s="2"/>
      <c r="C57" s="3"/>
      <c r="D57" s="4"/>
      <c r="E57" s="5"/>
      <c r="F57" s="5"/>
      <c r="G57" s="8"/>
    </row>
    <row r="58" spans="1:7" ht="15" x14ac:dyDescent="0.3">
      <c r="A58" s="1"/>
      <c r="B58" s="2"/>
      <c r="C58" s="3"/>
      <c r="D58" s="4"/>
      <c r="E58" s="5"/>
      <c r="F58" s="5"/>
      <c r="G58" s="8"/>
    </row>
    <row r="59" spans="1:7" ht="18" x14ac:dyDescent="0.25">
      <c r="A59" s="208" t="s">
        <v>2437</v>
      </c>
      <c r="B59" s="208"/>
      <c r="C59" s="208"/>
      <c r="D59" s="208"/>
      <c r="E59" s="208"/>
      <c r="F59" s="208"/>
      <c r="G59" s="208"/>
    </row>
    <row r="60" spans="1:7" ht="15" x14ac:dyDescent="0.3">
      <c r="A60" s="1"/>
      <c r="B60" s="9"/>
      <c r="C60" s="9"/>
      <c r="D60" s="9"/>
      <c r="E60" s="9"/>
      <c r="F60" s="10"/>
      <c r="G60" s="11"/>
    </row>
    <row r="61" spans="1:7" x14ac:dyDescent="0.2">
      <c r="A61" s="12" t="s">
        <v>2</v>
      </c>
      <c r="B61" s="12" t="s">
        <v>3</v>
      </c>
      <c r="C61" s="13" t="s">
        <v>4</v>
      </c>
      <c r="D61" s="14" t="s">
        <v>5</v>
      </c>
      <c r="E61" s="13" t="s">
        <v>6</v>
      </c>
      <c r="F61" s="13" t="s">
        <v>7</v>
      </c>
      <c r="G61" s="13" t="s">
        <v>8</v>
      </c>
    </row>
    <row r="62" spans="1:7" ht="30" x14ac:dyDescent="0.3">
      <c r="A62" s="15">
        <v>1</v>
      </c>
      <c r="B62" s="16">
        <v>40969</v>
      </c>
      <c r="C62" s="33" t="s">
        <v>2459</v>
      </c>
      <c r="D62" s="18">
        <f>+B62+30</f>
        <v>40999</v>
      </c>
      <c r="E62" s="19" t="s">
        <v>349</v>
      </c>
      <c r="F62" s="19" t="s">
        <v>2460</v>
      </c>
      <c r="G62" s="21">
        <v>12165.33</v>
      </c>
    </row>
    <row r="63" spans="1:7" ht="30" x14ac:dyDescent="0.3">
      <c r="A63" s="15">
        <v>2</v>
      </c>
      <c r="B63" s="16">
        <v>40932</v>
      </c>
      <c r="C63" s="33" t="s">
        <v>2461</v>
      </c>
      <c r="D63" s="18">
        <f>+B63+60</f>
        <v>40992</v>
      </c>
      <c r="E63" s="19" t="s">
        <v>349</v>
      </c>
      <c r="F63" s="19" t="s">
        <v>2462</v>
      </c>
      <c r="G63" s="21">
        <f>-621.33+(621.33*0.06)</f>
        <v>-584.05020000000002</v>
      </c>
    </row>
    <row r="64" spans="1:7" ht="45" x14ac:dyDescent="0.3">
      <c r="A64" s="15">
        <v>3</v>
      </c>
      <c r="B64" s="16">
        <v>40932</v>
      </c>
      <c r="C64" s="33" t="s">
        <v>2463</v>
      </c>
      <c r="D64" s="18">
        <f>+B64+60</f>
        <v>40992</v>
      </c>
      <c r="E64" s="19" t="s">
        <v>349</v>
      </c>
      <c r="F64" s="19" t="s">
        <v>2464</v>
      </c>
      <c r="G64" s="21">
        <f>-2207.07+(2207.07*0.06)-0.009</f>
        <v>-2074.6548000000003</v>
      </c>
    </row>
    <row r="65" spans="1:8" ht="30" x14ac:dyDescent="0.3">
      <c r="A65" s="15">
        <v>4</v>
      </c>
      <c r="B65" s="16">
        <v>40932</v>
      </c>
      <c r="C65" s="33" t="s">
        <v>2465</v>
      </c>
      <c r="D65" s="18">
        <f>+B65+60</f>
        <v>40992</v>
      </c>
      <c r="E65" s="19" t="s">
        <v>349</v>
      </c>
      <c r="F65" s="19" t="s">
        <v>2462</v>
      </c>
      <c r="G65" s="21">
        <f>-495.25+(495.25*0.06)</f>
        <v>-465.53500000000003</v>
      </c>
    </row>
    <row r="66" spans="1:8" ht="15" x14ac:dyDescent="0.2">
      <c r="A66" s="22"/>
      <c r="B66" s="22"/>
      <c r="C66" s="23"/>
      <c r="D66" s="24"/>
      <c r="E66" s="25"/>
      <c r="F66" s="26" t="s">
        <v>24</v>
      </c>
      <c r="G66" s="27">
        <f>SUM(G62:G65)</f>
        <v>9041.09</v>
      </c>
      <c r="H66" s="109" t="s">
        <v>126</v>
      </c>
    </row>
  </sheetData>
  <sheetProtection selectLockedCells="1" selectUnlockedCells="1"/>
  <mergeCells count="9">
    <mergeCell ref="A50:G52"/>
    <mergeCell ref="F55:G55"/>
    <mergeCell ref="A59:G59"/>
    <mergeCell ref="F1:G1"/>
    <mergeCell ref="A5:G5"/>
    <mergeCell ref="F22:G22"/>
    <mergeCell ref="A26:G26"/>
    <mergeCell ref="F36:G36"/>
    <mergeCell ref="A40:G40"/>
  </mergeCells>
  <printOptions horizontalCentered="1"/>
  <pageMargins left="0" right="0" top="0.74791666666666667" bottom="0.74791666666666667" header="0.51180555555555551" footer="0.51180555555555551"/>
  <pageSetup paperSize="9" scale="80" firstPageNumber="0" orientation="portrait" horizontalDpi="300" verticalDpi="300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8"/>
  <dimension ref="A1:I61"/>
  <sheetViews>
    <sheetView workbookViewId="0">
      <selection activeCell="H39" sqref="H39"/>
    </sheetView>
  </sheetViews>
  <sheetFormatPr baseColWidth="10" defaultColWidth="10.7109375" defaultRowHeight="12.75" x14ac:dyDescent="0.2"/>
  <cols>
    <col min="1" max="1" width="3.28515625" customWidth="1"/>
    <col min="2" max="2" width="13.28515625" customWidth="1"/>
    <col min="4" max="4" width="13.5703125" customWidth="1"/>
    <col min="5" max="5" width="20.85546875" customWidth="1"/>
    <col min="6" max="6" width="22.5703125" customWidth="1"/>
    <col min="7" max="7" width="15.7109375" customWidth="1"/>
    <col min="8" max="8" width="12" customWidth="1"/>
  </cols>
  <sheetData>
    <row r="1" spans="1:7" ht="15" customHeight="1" x14ac:dyDescent="0.3">
      <c r="A1" s="1"/>
      <c r="B1" s="2"/>
      <c r="C1" s="3"/>
      <c r="D1" s="4"/>
      <c r="E1" s="5"/>
      <c r="F1" s="207" t="s">
        <v>0</v>
      </c>
      <c r="G1" s="207"/>
    </row>
    <row r="2" spans="1:7" ht="18.75" x14ac:dyDescent="0.3">
      <c r="A2" s="7" t="s">
        <v>1</v>
      </c>
      <c r="B2" s="7"/>
      <c r="C2" s="3"/>
      <c r="D2" s="4"/>
      <c r="E2" s="5"/>
      <c r="F2" s="5"/>
      <c r="G2" s="8"/>
    </row>
    <row r="3" spans="1:7" ht="15" x14ac:dyDescent="0.3">
      <c r="A3" s="1"/>
      <c r="B3" s="2"/>
      <c r="C3" s="3"/>
      <c r="D3" s="4"/>
      <c r="E3" s="5"/>
      <c r="F3" s="5"/>
      <c r="G3" s="8"/>
    </row>
    <row r="4" spans="1:7" ht="15" x14ac:dyDescent="0.3">
      <c r="A4" s="1"/>
      <c r="B4" s="2"/>
      <c r="C4" s="3"/>
      <c r="D4" s="4"/>
      <c r="E4" s="5"/>
      <c r="F4" s="5"/>
      <c r="G4" s="8"/>
    </row>
    <row r="5" spans="1:7" ht="18" x14ac:dyDescent="0.25">
      <c r="A5" s="208" t="s">
        <v>2466</v>
      </c>
      <c r="B5" s="208"/>
      <c r="C5" s="208"/>
      <c r="D5" s="208"/>
      <c r="E5" s="208"/>
      <c r="F5" s="208"/>
      <c r="G5" s="208"/>
    </row>
    <row r="6" spans="1:7" ht="15" x14ac:dyDescent="0.3">
      <c r="A6" s="1"/>
      <c r="B6" s="9"/>
      <c r="C6" s="9"/>
      <c r="D6" s="9"/>
      <c r="E6" s="9"/>
      <c r="F6" s="10"/>
      <c r="G6" s="11"/>
    </row>
    <row r="7" spans="1:7" x14ac:dyDescent="0.2">
      <c r="A7" s="12" t="s">
        <v>2</v>
      </c>
      <c r="B7" s="12" t="s">
        <v>3</v>
      </c>
      <c r="C7" s="13" t="s">
        <v>4</v>
      </c>
      <c r="D7" s="14" t="s">
        <v>5</v>
      </c>
      <c r="E7" s="13" t="s">
        <v>6</v>
      </c>
      <c r="F7" s="13" t="s">
        <v>7</v>
      </c>
      <c r="G7" s="13" t="s">
        <v>32</v>
      </c>
    </row>
    <row r="8" spans="1:7" ht="30" x14ac:dyDescent="0.3">
      <c r="A8" s="15">
        <v>1</v>
      </c>
      <c r="B8" s="16">
        <v>40973</v>
      </c>
      <c r="C8" s="33" t="s">
        <v>2467</v>
      </c>
      <c r="D8" s="18">
        <f>+B8+30</f>
        <v>41003</v>
      </c>
      <c r="E8" s="19" t="s">
        <v>34</v>
      </c>
      <c r="F8" s="19" t="s">
        <v>2468</v>
      </c>
      <c r="G8" s="21">
        <v>1180</v>
      </c>
    </row>
    <row r="9" spans="1:7" ht="45" x14ac:dyDescent="0.3">
      <c r="A9" s="15">
        <v>2</v>
      </c>
      <c r="B9" s="16">
        <v>40982</v>
      </c>
      <c r="C9" s="33" t="s">
        <v>2469</v>
      </c>
      <c r="D9" s="18">
        <f>+B9+15</f>
        <v>40997</v>
      </c>
      <c r="E9" s="19" t="s">
        <v>1458</v>
      </c>
      <c r="F9" s="19" t="s">
        <v>2470</v>
      </c>
      <c r="G9" s="21">
        <v>109.15</v>
      </c>
    </row>
    <row r="10" spans="1:7" ht="15" x14ac:dyDescent="0.2">
      <c r="A10" s="22"/>
      <c r="B10" s="22"/>
      <c r="C10" s="23"/>
      <c r="D10" s="24"/>
      <c r="E10" s="25"/>
      <c r="F10" s="26" t="s">
        <v>24</v>
      </c>
      <c r="G10" s="36">
        <f>SUM(G8:G9)</f>
        <v>1289.1500000000001</v>
      </c>
    </row>
    <row r="14" spans="1:7" ht="12.75" customHeight="1" x14ac:dyDescent="0.2">
      <c r="F14" s="207" t="s">
        <v>0</v>
      </c>
      <c r="G14" s="207"/>
    </row>
    <row r="15" spans="1:7" ht="18.75" x14ac:dyDescent="0.3">
      <c r="A15" s="31" t="s">
        <v>1</v>
      </c>
      <c r="B15" s="29"/>
      <c r="C15" s="37"/>
      <c r="D15" s="30"/>
      <c r="E15" s="5"/>
      <c r="F15" s="29"/>
      <c r="G15" s="29"/>
    </row>
    <row r="16" spans="1:7" ht="15" x14ac:dyDescent="0.3">
      <c r="A16" s="29"/>
      <c r="B16" s="30"/>
      <c r="C16" s="37"/>
      <c r="D16" s="30"/>
      <c r="E16" s="5"/>
      <c r="F16" s="5"/>
      <c r="G16" s="32"/>
    </row>
    <row r="17" spans="1:9" ht="18" x14ac:dyDescent="0.25">
      <c r="A17" s="208" t="s">
        <v>2471</v>
      </c>
      <c r="B17" s="208"/>
      <c r="C17" s="208"/>
      <c r="D17" s="208"/>
      <c r="E17" s="208"/>
      <c r="F17" s="208"/>
      <c r="G17" s="208"/>
    </row>
    <row r="18" spans="1:9" ht="15" x14ac:dyDescent="0.3">
      <c r="A18" s="29"/>
      <c r="B18" s="9"/>
      <c r="C18" s="9"/>
      <c r="D18" s="9"/>
      <c r="E18" s="9"/>
      <c r="F18" s="10"/>
      <c r="G18" s="11"/>
    </row>
    <row r="19" spans="1:9" x14ac:dyDescent="0.2">
      <c r="A19" s="12" t="s">
        <v>2</v>
      </c>
      <c r="B19" s="12" t="s">
        <v>3</v>
      </c>
      <c r="C19" s="13" t="s">
        <v>4</v>
      </c>
      <c r="D19" s="14" t="s">
        <v>25</v>
      </c>
      <c r="E19" s="13" t="s">
        <v>6</v>
      </c>
      <c r="F19" s="13" t="s">
        <v>7</v>
      </c>
      <c r="G19" s="13" t="s">
        <v>32</v>
      </c>
    </row>
    <row r="20" spans="1:9" ht="45" x14ac:dyDescent="0.3">
      <c r="A20" s="15">
        <v>1</v>
      </c>
      <c r="B20" s="16">
        <v>40994</v>
      </c>
      <c r="C20" s="33" t="s">
        <v>2472</v>
      </c>
      <c r="D20" s="18" t="s">
        <v>2473</v>
      </c>
      <c r="E20" s="19" t="s">
        <v>241</v>
      </c>
      <c r="F20" s="19" t="s">
        <v>242</v>
      </c>
      <c r="G20" s="21">
        <v>2430</v>
      </c>
      <c r="H20" t="s">
        <v>27</v>
      </c>
    </row>
    <row r="21" spans="1:9" ht="60" x14ac:dyDescent="0.3">
      <c r="A21" s="15">
        <v>2</v>
      </c>
      <c r="B21" s="16">
        <v>40987</v>
      </c>
      <c r="C21" s="33" t="s">
        <v>1406</v>
      </c>
      <c r="D21" s="18" t="s">
        <v>2474</v>
      </c>
      <c r="E21" s="19" t="s">
        <v>1588</v>
      </c>
      <c r="F21" s="19" t="s">
        <v>2475</v>
      </c>
      <c r="G21" s="21">
        <v>517.6</v>
      </c>
      <c r="H21" s="45" t="s">
        <v>27</v>
      </c>
      <c r="I21" t="s">
        <v>2476</v>
      </c>
    </row>
    <row r="22" spans="1:9" ht="45" x14ac:dyDescent="0.3">
      <c r="A22" s="15">
        <v>3</v>
      </c>
      <c r="B22" s="16">
        <v>40990</v>
      </c>
      <c r="C22" s="33" t="s">
        <v>1406</v>
      </c>
      <c r="D22" s="18" t="s">
        <v>2477</v>
      </c>
      <c r="E22" s="19" t="s">
        <v>2478</v>
      </c>
      <c r="F22" s="19" t="s">
        <v>2479</v>
      </c>
      <c r="G22" s="21">
        <v>2429.3000000000002</v>
      </c>
      <c r="H22" s="45" t="s">
        <v>27</v>
      </c>
    </row>
    <row r="23" spans="1:9" ht="45" x14ac:dyDescent="0.3">
      <c r="A23" s="15">
        <v>4</v>
      </c>
      <c r="B23" s="16">
        <v>41013</v>
      </c>
      <c r="C23" s="33" t="s">
        <v>2480</v>
      </c>
      <c r="D23" s="18" t="s">
        <v>2481</v>
      </c>
      <c r="E23" s="19" t="s">
        <v>2482</v>
      </c>
      <c r="F23" s="19" t="s">
        <v>2483</v>
      </c>
      <c r="G23" s="21">
        <f>191.99+567.01</f>
        <v>759</v>
      </c>
      <c r="H23" s="45" t="s">
        <v>27</v>
      </c>
    </row>
    <row r="24" spans="1:9" ht="30" x14ac:dyDescent="0.3">
      <c r="A24" s="15">
        <v>5</v>
      </c>
      <c r="B24" s="16">
        <v>41001</v>
      </c>
      <c r="C24" s="33" t="s">
        <v>1406</v>
      </c>
      <c r="D24" s="18" t="s">
        <v>2484</v>
      </c>
      <c r="E24" s="19" t="s">
        <v>2485</v>
      </c>
      <c r="F24" s="19" t="s">
        <v>446</v>
      </c>
      <c r="G24" s="21">
        <v>2907.47</v>
      </c>
      <c r="H24" s="45" t="s">
        <v>27</v>
      </c>
    </row>
    <row r="25" spans="1:9" ht="45" x14ac:dyDescent="0.3">
      <c r="A25" s="15">
        <v>6</v>
      </c>
      <c r="B25" s="16">
        <v>41014</v>
      </c>
      <c r="C25" s="33" t="s">
        <v>2486</v>
      </c>
      <c r="D25" s="18" t="s">
        <v>2487</v>
      </c>
      <c r="E25" s="19" t="s">
        <v>208</v>
      </c>
      <c r="F25" s="19" t="s">
        <v>2488</v>
      </c>
      <c r="G25" s="21">
        <v>97.2</v>
      </c>
      <c r="H25" s="45" t="s">
        <v>27</v>
      </c>
    </row>
    <row r="26" spans="1:9" ht="45" x14ac:dyDescent="0.3">
      <c r="A26" s="15">
        <v>7</v>
      </c>
      <c r="B26" s="16">
        <v>41009</v>
      </c>
      <c r="C26" s="33" t="s">
        <v>2489</v>
      </c>
      <c r="D26" s="18" t="s">
        <v>2490</v>
      </c>
      <c r="E26" s="19" t="s">
        <v>131</v>
      </c>
      <c r="F26" s="19" t="s">
        <v>2491</v>
      </c>
      <c r="G26" s="21">
        <v>930.5</v>
      </c>
      <c r="H26" s="45" t="s">
        <v>27</v>
      </c>
    </row>
    <row r="27" spans="1:9" ht="30" x14ac:dyDescent="0.3">
      <c r="A27" s="15">
        <v>8</v>
      </c>
      <c r="B27" s="16">
        <v>40975</v>
      </c>
      <c r="C27" s="33" t="s">
        <v>2492</v>
      </c>
      <c r="D27" s="18" t="s">
        <v>2493</v>
      </c>
      <c r="E27" s="19" t="s">
        <v>2494</v>
      </c>
      <c r="F27" s="19" t="s">
        <v>96</v>
      </c>
      <c r="G27" s="21">
        <f>9322-(9322*0.04)</f>
        <v>8949.1200000000008</v>
      </c>
      <c r="H27" s="45" t="s">
        <v>27</v>
      </c>
      <c r="I27" t="s">
        <v>1807</v>
      </c>
    </row>
    <row r="28" spans="1:9" ht="45" x14ac:dyDescent="0.3">
      <c r="A28" s="15">
        <v>9</v>
      </c>
      <c r="B28" s="16">
        <v>41002</v>
      </c>
      <c r="C28" s="33" t="s">
        <v>1406</v>
      </c>
      <c r="D28" s="18" t="s">
        <v>2495</v>
      </c>
      <c r="E28" s="19" t="s">
        <v>2478</v>
      </c>
      <c r="F28" s="19" t="s">
        <v>2496</v>
      </c>
      <c r="G28" s="21">
        <v>1512.6</v>
      </c>
      <c r="H28" s="45" t="s">
        <v>27</v>
      </c>
    </row>
    <row r="29" spans="1:9" ht="15" x14ac:dyDescent="0.3">
      <c r="A29" s="29"/>
      <c r="B29" s="30"/>
      <c r="C29" s="37"/>
      <c r="D29" s="30"/>
      <c r="E29" s="5"/>
      <c r="F29" s="46" t="s">
        <v>24</v>
      </c>
      <c r="G29" s="36">
        <f>SUM(G20:G28)</f>
        <v>20532.79</v>
      </c>
      <c r="H29" s="104"/>
    </row>
    <row r="32" spans="1:9" ht="12.75" customHeight="1" x14ac:dyDescent="0.2">
      <c r="F32" s="207" t="s">
        <v>0</v>
      </c>
      <c r="G32" s="207"/>
    </row>
    <row r="33" spans="1:9" ht="18.75" x14ac:dyDescent="0.3">
      <c r="A33" s="31" t="s">
        <v>1</v>
      </c>
      <c r="B33" s="29"/>
      <c r="C33" s="37"/>
      <c r="D33" s="30"/>
      <c r="E33" s="5"/>
      <c r="F33" s="29"/>
      <c r="G33" s="29"/>
    </row>
    <row r="34" spans="1:9" ht="15" x14ac:dyDescent="0.3">
      <c r="A34" s="29"/>
      <c r="B34" s="30"/>
      <c r="C34" s="37"/>
      <c r="D34" s="30"/>
      <c r="E34" s="5"/>
      <c r="F34" s="5"/>
      <c r="G34" s="32"/>
    </row>
    <row r="35" spans="1:9" ht="18" x14ac:dyDescent="0.25">
      <c r="A35" s="208" t="s">
        <v>2497</v>
      </c>
      <c r="B35" s="208"/>
      <c r="C35" s="208"/>
      <c r="D35" s="208"/>
      <c r="E35" s="208"/>
      <c r="F35" s="208"/>
      <c r="G35" s="208"/>
    </row>
    <row r="36" spans="1:9" ht="18" x14ac:dyDescent="0.25">
      <c r="A36" s="208" t="s">
        <v>157</v>
      </c>
      <c r="B36" s="208"/>
      <c r="C36" s="208"/>
      <c r="D36" s="208"/>
      <c r="E36" s="208"/>
      <c r="F36" s="208"/>
      <c r="G36" s="208"/>
    </row>
    <row r="37" spans="1:9" ht="15" x14ac:dyDescent="0.3">
      <c r="A37" s="29"/>
      <c r="B37" s="9"/>
      <c r="C37" s="9"/>
      <c r="D37" s="9"/>
      <c r="E37" s="9"/>
      <c r="F37" s="10"/>
      <c r="G37" s="11"/>
    </row>
    <row r="38" spans="1:9" x14ac:dyDescent="0.2">
      <c r="A38" s="12" t="s">
        <v>2</v>
      </c>
      <c r="B38" s="12" t="s">
        <v>3</v>
      </c>
      <c r="C38" s="13" t="s">
        <v>4</v>
      </c>
      <c r="D38" s="14" t="s">
        <v>25</v>
      </c>
      <c r="E38" s="13" t="s">
        <v>6</v>
      </c>
      <c r="F38" s="13" t="s">
        <v>7</v>
      </c>
      <c r="G38" s="13" t="s">
        <v>32</v>
      </c>
      <c r="H38" s="13" t="s">
        <v>8</v>
      </c>
    </row>
    <row r="39" spans="1:9" ht="15" x14ac:dyDescent="0.3">
      <c r="A39" s="15">
        <v>1</v>
      </c>
      <c r="B39" s="16"/>
      <c r="C39" s="33"/>
      <c r="D39" s="18"/>
      <c r="E39" s="19"/>
      <c r="F39" s="19"/>
      <c r="G39" s="21"/>
      <c r="H39" s="21"/>
    </row>
    <row r="40" spans="1:9" ht="15" x14ac:dyDescent="0.3">
      <c r="A40" s="15">
        <v>2</v>
      </c>
      <c r="B40" s="16"/>
      <c r="C40" s="33"/>
      <c r="D40" s="18"/>
      <c r="E40" s="19"/>
      <c r="F40" s="19"/>
      <c r="G40" s="21"/>
      <c r="H40" s="21"/>
    </row>
    <row r="41" spans="1:9" ht="15" x14ac:dyDescent="0.3">
      <c r="A41" s="15">
        <v>3</v>
      </c>
      <c r="B41" s="16"/>
      <c r="C41" s="33"/>
      <c r="D41" s="18"/>
      <c r="E41" s="19"/>
      <c r="F41" s="19"/>
      <c r="G41" s="21"/>
      <c r="H41" s="21"/>
    </row>
    <row r="42" spans="1:9" ht="15" x14ac:dyDescent="0.3">
      <c r="A42" s="29"/>
      <c r="B42" s="30"/>
      <c r="C42" s="37"/>
      <c r="D42" s="30"/>
      <c r="E42" s="5"/>
      <c r="F42" s="46" t="s">
        <v>24</v>
      </c>
      <c r="G42" s="36">
        <f>SUM(G39:G41)</f>
        <v>0</v>
      </c>
      <c r="H42" s="27">
        <f>SUM(H39:H41)</f>
        <v>0</v>
      </c>
    </row>
    <row r="43" spans="1:9" x14ac:dyDescent="0.2">
      <c r="B43" s="35"/>
    </row>
    <row r="44" spans="1:9" x14ac:dyDescent="0.2">
      <c r="B44" s="35"/>
    </row>
    <row r="45" spans="1:9" x14ac:dyDescent="0.2">
      <c r="A45" s="216" t="s">
        <v>1807</v>
      </c>
      <c r="B45" s="216"/>
      <c r="C45" s="216"/>
      <c r="D45" s="216"/>
      <c r="E45" s="216"/>
      <c r="F45" s="216"/>
      <c r="G45" s="216"/>
      <c r="I45" s="35"/>
    </row>
    <row r="46" spans="1:9" x14ac:dyDescent="0.2">
      <c r="A46" s="216"/>
      <c r="B46" s="216"/>
      <c r="C46" s="216"/>
      <c r="D46" s="216"/>
      <c r="E46" s="216"/>
      <c r="F46" s="216"/>
      <c r="G46" s="216"/>
      <c r="I46" s="35"/>
    </row>
    <row r="47" spans="1:9" x14ac:dyDescent="0.2">
      <c r="A47" s="216"/>
      <c r="B47" s="216"/>
      <c r="C47" s="216"/>
      <c r="D47" s="216"/>
      <c r="E47" s="216"/>
      <c r="F47" s="216"/>
      <c r="G47" s="216"/>
    </row>
    <row r="49" spans="1:7" ht="15" customHeight="1" x14ac:dyDescent="0.3">
      <c r="A49" s="1"/>
      <c r="B49" s="2"/>
      <c r="C49" s="3"/>
      <c r="D49" s="4"/>
      <c r="E49" s="5"/>
      <c r="F49" s="207" t="s">
        <v>0</v>
      </c>
      <c r="G49" s="207"/>
    </row>
    <row r="50" spans="1:7" ht="18.75" x14ac:dyDescent="0.3">
      <c r="A50" s="7" t="s">
        <v>1</v>
      </c>
      <c r="B50" s="7"/>
      <c r="C50" s="3"/>
      <c r="D50" s="4"/>
      <c r="E50" s="5"/>
      <c r="F50" s="5"/>
      <c r="G50" s="8"/>
    </row>
    <row r="51" spans="1:7" ht="15" x14ac:dyDescent="0.3">
      <c r="A51" s="1"/>
      <c r="B51" s="2"/>
      <c r="C51" s="3"/>
      <c r="D51" s="4"/>
      <c r="E51" s="5"/>
      <c r="F51" s="5"/>
      <c r="G51" s="8"/>
    </row>
    <row r="52" spans="1:7" ht="15" x14ac:dyDescent="0.3">
      <c r="A52" s="1"/>
      <c r="B52" s="2"/>
      <c r="C52" s="3"/>
      <c r="D52" s="4"/>
      <c r="E52" s="5"/>
      <c r="F52" s="5"/>
      <c r="G52" s="8"/>
    </row>
    <row r="53" spans="1:7" ht="18" x14ac:dyDescent="0.25">
      <c r="A53" s="208" t="s">
        <v>2466</v>
      </c>
      <c r="B53" s="208"/>
      <c r="C53" s="208"/>
      <c r="D53" s="208"/>
      <c r="E53" s="208"/>
      <c r="F53" s="208"/>
      <c r="G53" s="208"/>
    </row>
    <row r="54" spans="1:7" ht="15" x14ac:dyDescent="0.3">
      <c r="A54" s="1"/>
      <c r="B54" s="9"/>
      <c r="C54" s="9"/>
      <c r="D54" s="9"/>
      <c r="E54" s="9"/>
      <c r="F54" s="10"/>
      <c r="G54" s="11"/>
    </row>
    <row r="55" spans="1:7" x14ac:dyDescent="0.2">
      <c r="A55" s="12" t="s">
        <v>2</v>
      </c>
      <c r="B55" s="12" t="s">
        <v>3</v>
      </c>
      <c r="C55" s="13" t="s">
        <v>4</v>
      </c>
      <c r="D55" s="14" t="s">
        <v>5</v>
      </c>
      <c r="E55" s="13" t="s">
        <v>6</v>
      </c>
      <c r="F55" s="13" t="s">
        <v>7</v>
      </c>
      <c r="G55" s="13" t="s">
        <v>32</v>
      </c>
    </row>
    <row r="56" spans="1:7" ht="15" x14ac:dyDescent="0.3">
      <c r="A56" s="15">
        <v>1</v>
      </c>
      <c r="B56" s="16"/>
      <c r="C56" s="33"/>
      <c r="D56" s="18"/>
      <c r="E56" s="19"/>
      <c r="F56" s="19"/>
      <c r="G56" s="21"/>
    </row>
    <row r="57" spans="1:7" ht="15" x14ac:dyDescent="0.3">
      <c r="A57" s="15">
        <v>2</v>
      </c>
      <c r="B57" s="16"/>
      <c r="C57" s="33"/>
      <c r="D57" s="18"/>
      <c r="E57" s="19"/>
      <c r="F57" s="19"/>
      <c r="G57" s="21"/>
    </row>
    <row r="58" spans="1:7" ht="15" x14ac:dyDescent="0.3">
      <c r="A58" s="15">
        <v>3</v>
      </c>
      <c r="B58" s="16"/>
      <c r="C58" s="33"/>
      <c r="D58" s="18"/>
      <c r="E58" s="19"/>
      <c r="F58" s="19"/>
      <c r="G58" s="21"/>
    </row>
    <row r="59" spans="1:7" ht="15" x14ac:dyDescent="0.3">
      <c r="A59" s="15">
        <v>4</v>
      </c>
      <c r="B59" s="16"/>
      <c r="C59" s="33"/>
      <c r="D59" s="18"/>
      <c r="E59" s="19"/>
      <c r="F59" s="19"/>
      <c r="G59" s="21"/>
    </row>
    <row r="60" spans="1:7" ht="15" x14ac:dyDescent="0.3">
      <c r="A60" s="15">
        <v>5</v>
      </c>
      <c r="B60" s="16"/>
      <c r="C60" s="33"/>
      <c r="D60" s="18"/>
      <c r="E60" s="19"/>
      <c r="F60" s="19"/>
      <c r="G60" s="21"/>
    </row>
    <row r="61" spans="1:7" ht="15" x14ac:dyDescent="0.2">
      <c r="A61" s="22"/>
      <c r="B61" s="22"/>
      <c r="C61" s="23"/>
      <c r="D61" s="24"/>
      <c r="E61" s="25"/>
      <c r="F61" s="26" t="s">
        <v>24</v>
      </c>
      <c r="G61" s="36">
        <f>SUM(G56:G60)</f>
        <v>0</v>
      </c>
    </row>
  </sheetData>
  <sheetProtection selectLockedCells="1" selectUnlockedCells="1"/>
  <mergeCells count="10">
    <mergeCell ref="A36:G36"/>
    <mergeCell ref="A45:G47"/>
    <mergeCell ref="F49:G49"/>
    <mergeCell ref="A53:G53"/>
    <mergeCell ref="F1:G1"/>
    <mergeCell ref="A5:G5"/>
    <mergeCell ref="F14:G14"/>
    <mergeCell ref="A17:G17"/>
    <mergeCell ref="F32:G32"/>
    <mergeCell ref="A35:G35"/>
  </mergeCells>
  <printOptions horizontalCentered="1"/>
  <pageMargins left="0" right="0" top="0.74791666666666667" bottom="0.74791666666666667" header="0.51180555555555551" footer="0.51180555555555551"/>
  <pageSetup paperSize="9" scale="90" firstPageNumber="0" orientation="portrait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9"/>
  <dimension ref="A1:H64"/>
  <sheetViews>
    <sheetView topLeftCell="A4" workbookViewId="0">
      <selection activeCell="H39" sqref="H39"/>
    </sheetView>
  </sheetViews>
  <sheetFormatPr baseColWidth="10" defaultColWidth="10.7109375" defaultRowHeight="12.75" x14ac:dyDescent="0.2"/>
  <cols>
    <col min="1" max="1" width="4.85546875" customWidth="1"/>
    <col min="2" max="2" width="12.5703125" customWidth="1"/>
    <col min="4" max="4" width="13" customWidth="1"/>
    <col min="5" max="5" width="27.42578125" customWidth="1"/>
    <col min="6" max="6" width="23.140625" customWidth="1"/>
    <col min="7" max="7" width="13.28515625" customWidth="1"/>
  </cols>
  <sheetData>
    <row r="1" spans="1:7" ht="15" customHeight="1" x14ac:dyDescent="0.3">
      <c r="A1" s="1"/>
      <c r="B1" s="2"/>
      <c r="C1" s="3"/>
      <c r="D1" s="4"/>
      <c r="E1" s="5"/>
      <c r="F1" s="207" t="s">
        <v>0</v>
      </c>
      <c r="G1" s="207"/>
    </row>
    <row r="2" spans="1:7" ht="18.75" x14ac:dyDescent="0.3">
      <c r="A2" s="7" t="s">
        <v>1</v>
      </c>
      <c r="B2" s="7"/>
      <c r="C2" s="3"/>
      <c r="D2" s="4"/>
      <c r="E2" s="5"/>
      <c r="F2" s="5"/>
      <c r="G2" s="8"/>
    </row>
    <row r="3" spans="1:7" ht="15" x14ac:dyDescent="0.3">
      <c r="A3" s="1"/>
      <c r="B3" s="2"/>
      <c r="C3" s="3"/>
      <c r="D3" s="4"/>
      <c r="E3" s="5"/>
      <c r="F3" s="5"/>
      <c r="G3" s="8"/>
    </row>
    <row r="4" spans="1:7" ht="15" x14ac:dyDescent="0.3">
      <c r="A4" s="1"/>
      <c r="B4" s="2"/>
      <c r="C4" s="3"/>
      <c r="D4" s="4"/>
      <c r="E4" s="5"/>
      <c r="F4" s="5"/>
      <c r="G4" s="8"/>
    </row>
    <row r="5" spans="1:7" ht="18" x14ac:dyDescent="0.25">
      <c r="A5" s="208" t="s">
        <v>2498</v>
      </c>
      <c r="B5" s="208"/>
      <c r="C5" s="208"/>
      <c r="D5" s="208"/>
      <c r="E5" s="208"/>
      <c r="F5" s="208"/>
      <c r="G5" s="208"/>
    </row>
    <row r="6" spans="1:7" ht="15" x14ac:dyDescent="0.3">
      <c r="A6" s="1"/>
      <c r="B6" s="9"/>
      <c r="C6" s="9"/>
      <c r="D6" s="9"/>
      <c r="E6" s="9"/>
      <c r="F6" s="10"/>
      <c r="G6" s="11"/>
    </row>
    <row r="7" spans="1:7" x14ac:dyDescent="0.2">
      <c r="A7" s="12" t="s">
        <v>2</v>
      </c>
      <c r="B7" s="12" t="s">
        <v>3</v>
      </c>
      <c r="C7" s="13" t="s">
        <v>4</v>
      </c>
      <c r="D7" s="14" t="s">
        <v>5</v>
      </c>
      <c r="E7" s="13" t="s">
        <v>6</v>
      </c>
      <c r="F7" s="13" t="s">
        <v>7</v>
      </c>
      <c r="G7" s="13" t="s">
        <v>8</v>
      </c>
    </row>
    <row r="8" spans="1:7" ht="30.75" customHeight="1" x14ac:dyDescent="0.3">
      <c r="A8" s="15">
        <v>1</v>
      </c>
      <c r="B8" s="16">
        <v>40976</v>
      </c>
      <c r="C8" s="33" t="s">
        <v>2499</v>
      </c>
      <c r="D8" s="18">
        <f>+B8+30</f>
        <v>41006</v>
      </c>
      <c r="E8" s="19" t="s">
        <v>20</v>
      </c>
      <c r="F8" s="19" t="s">
        <v>2500</v>
      </c>
      <c r="G8" s="21">
        <v>498.93</v>
      </c>
    </row>
    <row r="9" spans="1:7" ht="30.75" customHeight="1" x14ac:dyDescent="0.3">
      <c r="A9" s="15">
        <v>2</v>
      </c>
      <c r="B9" s="16">
        <v>40976</v>
      </c>
      <c r="C9" s="33" t="s">
        <v>2501</v>
      </c>
      <c r="D9" s="18">
        <f>+B9+30</f>
        <v>41006</v>
      </c>
      <c r="E9" s="19" t="s">
        <v>40</v>
      </c>
      <c r="F9" s="19" t="s">
        <v>2502</v>
      </c>
      <c r="G9" s="21">
        <v>14.04</v>
      </c>
    </row>
    <row r="10" spans="1:7" ht="30.75" customHeight="1" x14ac:dyDescent="0.3">
      <c r="A10" s="15">
        <v>3</v>
      </c>
      <c r="B10" s="16">
        <v>40976</v>
      </c>
      <c r="C10" s="33" t="s">
        <v>2503</v>
      </c>
      <c r="D10" s="18">
        <f>+B10+30</f>
        <v>41006</v>
      </c>
      <c r="E10" s="19" t="s">
        <v>40</v>
      </c>
      <c r="F10" s="19" t="s">
        <v>2504</v>
      </c>
      <c r="G10" s="21">
        <v>17.82</v>
      </c>
    </row>
    <row r="11" spans="1:7" ht="30.75" customHeight="1" x14ac:dyDescent="0.3">
      <c r="A11" s="15">
        <v>4</v>
      </c>
      <c r="B11" s="16">
        <v>40976</v>
      </c>
      <c r="C11" s="33" t="s">
        <v>2505</v>
      </c>
      <c r="D11" s="18">
        <f>+B11+30</f>
        <v>41006</v>
      </c>
      <c r="E11" s="19" t="s">
        <v>2506</v>
      </c>
      <c r="F11" s="19" t="s">
        <v>2507</v>
      </c>
      <c r="G11" s="21">
        <v>177</v>
      </c>
    </row>
    <row r="12" spans="1:7" ht="30.75" customHeight="1" x14ac:dyDescent="0.3">
      <c r="A12" s="15">
        <v>5</v>
      </c>
      <c r="B12" s="16">
        <v>40977</v>
      </c>
      <c r="C12" s="33" t="s">
        <v>2508</v>
      </c>
      <c r="D12" s="18">
        <f>+B12+30</f>
        <v>41007</v>
      </c>
      <c r="E12" s="19" t="s">
        <v>1458</v>
      </c>
      <c r="F12" s="19" t="s">
        <v>2509</v>
      </c>
      <c r="G12" s="21">
        <v>6.5</v>
      </c>
    </row>
    <row r="13" spans="1:7" ht="15" x14ac:dyDescent="0.2">
      <c r="A13" s="22"/>
      <c r="B13" s="22"/>
      <c r="C13" s="23"/>
      <c r="D13" s="24"/>
      <c r="E13" s="25"/>
      <c r="F13" s="26" t="s">
        <v>24</v>
      </c>
      <c r="G13" s="27">
        <f>SUM(G8:G12)</f>
        <v>714.29000000000008</v>
      </c>
    </row>
    <row r="14" spans="1:7" ht="30.75" customHeight="1" x14ac:dyDescent="0.2"/>
    <row r="19" spans="1:8" ht="15" customHeight="1" x14ac:dyDescent="0.3">
      <c r="A19" s="29"/>
      <c r="B19" s="30"/>
      <c r="C19" s="37"/>
      <c r="D19" s="30"/>
      <c r="E19" s="5"/>
      <c r="F19" s="207" t="s">
        <v>0</v>
      </c>
      <c r="G19" s="207"/>
    </row>
    <row r="20" spans="1:8" ht="18.75" x14ac:dyDescent="0.3">
      <c r="A20" s="31" t="s">
        <v>1</v>
      </c>
      <c r="B20" s="29"/>
      <c r="C20" s="37"/>
      <c r="D20" s="30"/>
      <c r="E20" s="5"/>
      <c r="F20" s="29"/>
      <c r="G20" s="29"/>
    </row>
    <row r="21" spans="1:8" ht="15" x14ac:dyDescent="0.3">
      <c r="A21" s="29"/>
      <c r="B21" s="30"/>
      <c r="C21" s="37"/>
      <c r="D21" s="30"/>
      <c r="E21" s="5"/>
      <c r="F21" s="5"/>
      <c r="G21" s="32"/>
    </row>
    <row r="22" spans="1:8" ht="15" x14ac:dyDescent="0.3">
      <c r="A22" s="29"/>
      <c r="B22" s="30"/>
      <c r="C22" s="37"/>
      <c r="D22" s="30"/>
      <c r="E22" s="5"/>
      <c r="F22" s="5"/>
      <c r="G22" s="32"/>
    </row>
    <row r="23" spans="1:8" ht="18" x14ac:dyDescent="0.25">
      <c r="A23" s="208" t="s">
        <v>2510</v>
      </c>
      <c r="B23" s="208"/>
      <c r="C23" s="208"/>
      <c r="D23" s="208"/>
      <c r="E23" s="208"/>
      <c r="F23" s="208"/>
      <c r="G23" s="208"/>
    </row>
    <row r="24" spans="1:8" ht="15" x14ac:dyDescent="0.3">
      <c r="A24" s="29"/>
      <c r="B24" s="9"/>
      <c r="C24" s="9"/>
      <c r="D24" s="9"/>
      <c r="E24" s="9"/>
      <c r="F24" s="10"/>
      <c r="G24" s="11"/>
    </row>
    <row r="25" spans="1:8" x14ac:dyDescent="0.2">
      <c r="A25" s="12" t="s">
        <v>2</v>
      </c>
      <c r="B25" s="12" t="s">
        <v>3</v>
      </c>
      <c r="C25" s="13" t="s">
        <v>4</v>
      </c>
      <c r="D25" s="14" t="s">
        <v>25</v>
      </c>
      <c r="E25" s="13" t="s">
        <v>6</v>
      </c>
      <c r="F25" s="13" t="s">
        <v>7</v>
      </c>
      <c r="G25" s="13" t="s">
        <v>8</v>
      </c>
    </row>
    <row r="26" spans="1:8" ht="30" x14ac:dyDescent="0.3">
      <c r="A26" s="15">
        <v>1</v>
      </c>
      <c r="B26" s="16">
        <v>40999</v>
      </c>
      <c r="C26" s="33" t="s">
        <v>2511</v>
      </c>
      <c r="D26" s="18" t="s">
        <v>2512</v>
      </c>
      <c r="E26" s="19" t="s">
        <v>349</v>
      </c>
      <c r="F26" s="19" t="s">
        <v>2460</v>
      </c>
      <c r="G26" s="21">
        <v>12165.33</v>
      </c>
      <c r="H26" s="45" t="s">
        <v>27</v>
      </c>
    </row>
    <row r="27" spans="1:8" ht="30" x14ac:dyDescent="0.3">
      <c r="A27" s="15">
        <v>2</v>
      </c>
      <c r="B27" s="16">
        <v>40983</v>
      </c>
      <c r="C27" s="33" t="s">
        <v>2513</v>
      </c>
      <c r="D27" s="18" t="s">
        <v>2514</v>
      </c>
      <c r="E27" s="19" t="s">
        <v>2063</v>
      </c>
      <c r="F27" s="19" t="s">
        <v>2515</v>
      </c>
      <c r="G27" s="21">
        <v>599.39</v>
      </c>
      <c r="H27" s="45" t="s">
        <v>27</v>
      </c>
    </row>
    <row r="28" spans="1:8" ht="30" x14ac:dyDescent="0.3">
      <c r="A28" s="15">
        <v>3</v>
      </c>
      <c r="B28" s="16">
        <v>41001</v>
      </c>
      <c r="C28" s="33" t="s">
        <v>2516</v>
      </c>
      <c r="D28" s="18" t="s">
        <v>2517</v>
      </c>
      <c r="E28" s="19" t="s">
        <v>212</v>
      </c>
      <c r="F28" s="19" t="s">
        <v>2518</v>
      </c>
      <c r="G28" s="21">
        <v>475.28</v>
      </c>
      <c r="H28" s="45" t="s">
        <v>27</v>
      </c>
    </row>
    <row r="29" spans="1:8" x14ac:dyDescent="0.2">
      <c r="F29" s="26" t="s">
        <v>24</v>
      </c>
      <c r="G29" s="27">
        <f>SUM(G26:G28)</f>
        <v>13240</v>
      </c>
    </row>
    <row r="34" spans="1:8" ht="15" customHeight="1" x14ac:dyDescent="0.3">
      <c r="A34" s="29"/>
      <c r="B34" s="30"/>
      <c r="C34" s="37"/>
      <c r="D34" s="30"/>
      <c r="E34" s="5"/>
      <c r="F34" s="207" t="s">
        <v>0</v>
      </c>
      <c r="G34" s="207"/>
    </row>
    <row r="35" spans="1:8" ht="18.75" x14ac:dyDescent="0.3">
      <c r="A35" s="31" t="s">
        <v>1</v>
      </c>
      <c r="B35" s="29"/>
      <c r="C35" s="37"/>
      <c r="D35" s="30"/>
      <c r="E35" s="5"/>
      <c r="F35" s="29"/>
      <c r="G35" s="29"/>
    </row>
    <row r="36" spans="1:8" ht="15" x14ac:dyDescent="0.3">
      <c r="A36" s="29"/>
      <c r="B36" s="30"/>
      <c r="C36" s="37"/>
      <c r="D36" s="30"/>
      <c r="E36" s="5"/>
      <c r="F36" s="5"/>
      <c r="G36" s="32"/>
    </row>
    <row r="37" spans="1:8" ht="15" x14ac:dyDescent="0.3">
      <c r="A37" s="29"/>
      <c r="B37" s="30"/>
      <c r="C37" s="37"/>
      <c r="D37" s="30"/>
      <c r="E37" s="5"/>
      <c r="F37" s="5"/>
      <c r="G37" s="32"/>
    </row>
    <row r="38" spans="1:8" ht="18" x14ac:dyDescent="0.25">
      <c r="A38" s="208" t="s">
        <v>2519</v>
      </c>
      <c r="B38" s="208"/>
      <c r="C38" s="208"/>
      <c r="D38" s="208"/>
      <c r="E38" s="208"/>
      <c r="F38" s="208"/>
      <c r="G38" s="208"/>
    </row>
    <row r="39" spans="1:8" ht="15" x14ac:dyDescent="0.3">
      <c r="A39" s="29"/>
      <c r="B39" s="9"/>
      <c r="C39" s="9"/>
      <c r="D39" s="9"/>
      <c r="E39" s="9"/>
      <c r="F39" s="10"/>
      <c r="G39" s="11"/>
    </row>
    <row r="40" spans="1:8" x14ac:dyDescent="0.2">
      <c r="A40" s="12" t="s">
        <v>2</v>
      </c>
      <c r="B40" s="12" t="s">
        <v>3</v>
      </c>
      <c r="C40" s="13" t="s">
        <v>4</v>
      </c>
      <c r="D40" s="14" t="s">
        <v>5</v>
      </c>
      <c r="E40" s="13" t="s">
        <v>6</v>
      </c>
      <c r="F40" s="13" t="s">
        <v>146</v>
      </c>
      <c r="G40" s="13" t="s">
        <v>8</v>
      </c>
    </row>
    <row r="41" spans="1:8" ht="15" x14ac:dyDescent="0.3">
      <c r="A41" s="15">
        <v>1</v>
      </c>
      <c r="B41" s="16"/>
      <c r="C41" s="33"/>
      <c r="D41" s="18"/>
      <c r="E41" s="19"/>
      <c r="F41" s="19"/>
      <c r="G41" s="21"/>
      <c r="H41" s="45"/>
    </row>
    <row r="42" spans="1:8" x14ac:dyDescent="0.2">
      <c r="F42" s="26" t="s">
        <v>24</v>
      </c>
      <c r="G42" s="27">
        <f>SUM(G41:G41)</f>
        <v>0</v>
      </c>
    </row>
    <row r="48" spans="1:8" x14ac:dyDescent="0.2">
      <c r="A48" s="216" t="s">
        <v>1807</v>
      </c>
      <c r="B48" s="216"/>
      <c r="C48" s="216"/>
      <c r="D48" s="216"/>
      <c r="E48" s="216"/>
      <c r="F48" s="216"/>
      <c r="G48" s="216"/>
    </row>
    <row r="49" spans="1:7" x14ac:dyDescent="0.2">
      <c r="A49" s="216"/>
      <c r="B49" s="216"/>
      <c r="C49" s="216"/>
      <c r="D49" s="216"/>
      <c r="E49" s="216"/>
      <c r="F49" s="216"/>
      <c r="G49" s="216"/>
    </row>
    <row r="50" spans="1:7" x14ac:dyDescent="0.2">
      <c r="A50" s="216"/>
      <c r="B50" s="216"/>
      <c r="C50" s="216"/>
      <c r="D50" s="216"/>
      <c r="E50" s="216"/>
      <c r="F50" s="216"/>
      <c r="G50" s="216"/>
    </row>
    <row r="53" spans="1:7" ht="15" customHeight="1" x14ac:dyDescent="0.3">
      <c r="A53" s="1"/>
      <c r="B53" s="2"/>
      <c r="C53" s="3"/>
      <c r="D53" s="4"/>
      <c r="E53" s="5"/>
      <c r="F53" s="207" t="s">
        <v>0</v>
      </c>
      <c r="G53" s="207"/>
    </row>
    <row r="54" spans="1:7" ht="18.75" x14ac:dyDescent="0.3">
      <c r="A54" s="7" t="s">
        <v>1</v>
      </c>
      <c r="B54" s="7"/>
      <c r="C54" s="3"/>
      <c r="D54" s="4"/>
      <c r="E54" s="5"/>
      <c r="F54" s="5"/>
      <c r="G54" s="8"/>
    </row>
    <row r="55" spans="1:7" ht="15" x14ac:dyDescent="0.3">
      <c r="A55" s="1"/>
      <c r="B55" s="2"/>
      <c r="C55" s="3"/>
      <c r="D55" s="4"/>
      <c r="E55" s="5"/>
      <c r="F55" s="5"/>
      <c r="G55" s="8"/>
    </row>
    <row r="56" spans="1:7" ht="15" x14ac:dyDescent="0.3">
      <c r="A56" s="1"/>
      <c r="B56" s="2"/>
      <c r="C56" s="3"/>
      <c r="D56" s="4"/>
      <c r="E56" s="5"/>
      <c r="F56" s="5"/>
      <c r="G56" s="8"/>
    </row>
    <row r="57" spans="1:7" ht="18" x14ac:dyDescent="0.25">
      <c r="A57" s="208" t="s">
        <v>2498</v>
      </c>
      <c r="B57" s="208"/>
      <c r="C57" s="208"/>
      <c r="D57" s="208"/>
      <c r="E57" s="208"/>
      <c r="F57" s="208"/>
      <c r="G57" s="208"/>
    </row>
    <row r="58" spans="1:7" ht="15" x14ac:dyDescent="0.3">
      <c r="A58" s="1"/>
      <c r="B58" s="9"/>
      <c r="C58" s="9"/>
      <c r="D58" s="9"/>
      <c r="E58" s="9"/>
      <c r="F58" s="10"/>
      <c r="G58" s="11"/>
    </row>
    <row r="59" spans="1:7" x14ac:dyDescent="0.2">
      <c r="A59" s="12" t="s">
        <v>2</v>
      </c>
      <c r="B59" s="12" t="s">
        <v>3</v>
      </c>
      <c r="C59" s="13" t="s">
        <v>4</v>
      </c>
      <c r="D59" s="14" t="s">
        <v>5</v>
      </c>
      <c r="E59" s="13" t="s">
        <v>6</v>
      </c>
      <c r="F59" s="13" t="s">
        <v>7</v>
      </c>
      <c r="G59" s="13" t="s">
        <v>8</v>
      </c>
    </row>
    <row r="60" spans="1:7" ht="15" x14ac:dyDescent="0.3">
      <c r="A60" s="15">
        <v>1</v>
      </c>
      <c r="B60" s="16"/>
      <c r="C60" s="33"/>
      <c r="D60" s="18"/>
      <c r="E60" s="19"/>
      <c r="F60" s="19"/>
      <c r="G60" s="21"/>
    </row>
    <row r="61" spans="1:7" ht="15" x14ac:dyDescent="0.3">
      <c r="A61" s="15">
        <v>2</v>
      </c>
      <c r="B61" s="16"/>
      <c r="C61" s="33"/>
      <c r="D61" s="18"/>
      <c r="E61" s="19"/>
      <c r="F61" s="19"/>
      <c r="G61" s="21"/>
    </row>
    <row r="62" spans="1:7" ht="15" x14ac:dyDescent="0.3">
      <c r="A62" s="15">
        <v>3</v>
      </c>
      <c r="B62" s="16"/>
      <c r="C62" s="33"/>
      <c r="D62" s="18"/>
      <c r="E62" s="19"/>
      <c r="F62" s="19"/>
      <c r="G62" s="21"/>
    </row>
    <row r="63" spans="1:7" ht="15" x14ac:dyDescent="0.3">
      <c r="A63" s="15">
        <v>4</v>
      </c>
      <c r="B63" s="16"/>
      <c r="C63" s="33"/>
      <c r="D63" s="18"/>
      <c r="E63" s="19"/>
      <c r="F63" s="19"/>
      <c r="G63" s="21"/>
    </row>
    <row r="64" spans="1:7" ht="15" x14ac:dyDescent="0.2">
      <c r="A64" s="22"/>
      <c r="B64" s="22"/>
      <c r="C64" s="23"/>
      <c r="D64" s="24"/>
      <c r="E64" s="25"/>
      <c r="F64" s="26" t="s">
        <v>24</v>
      </c>
      <c r="G64" s="27">
        <f>SUM(G60:G63)</f>
        <v>0</v>
      </c>
    </row>
  </sheetData>
  <sheetProtection selectLockedCells="1" selectUnlockedCells="1"/>
  <mergeCells count="9">
    <mergeCell ref="A48:G50"/>
    <mergeCell ref="F53:G53"/>
    <mergeCell ref="A57:G57"/>
    <mergeCell ref="F1:G1"/>
    <mergeCell ref="A5:G5"/>
    <mergeCell ref="F19:G19"/>
    <mergeCell ref="A23:G23"/>
    <mergeCell ref="F34:G34"/>
    <mergeCell ref="A38:G38"/>
  </mergeCells>
  <printOptions horizontalCentered="1" verticalCentered="1"/>
  <pageMargins left="0" right="0" top="0.74791666666666667" bottom="0.74791666666666667" header="0.51180555555555551" footer="0.51180555555555551"/>
  <pageSetup paperSize="9" scale="90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K104"/>
  <sheetViews>
    <sheetView topLeftCell="A29" workbookViewId="0">
      <selection activeCell="A29" sqref="A29"/>
    </sheetView>
  </sheetViews>
  <sheetFormatPr baseColWidth="10" defaultColWidth="10.7109375" defaultRowHeight="12.75" x14ac:dyDescent="0.2"/>
  <cols>
    <col min="1" max="1" width="3.7109375" customWidth="1"/>
    <col min="2" max="2" width="13.140625" customWidth="1"/>
    <col min="4" max="4" width="14.42578125" customWidth="1"/>
    <col min="5" max="5" width="29.7109375" customWidth="1"/>
    <col min="6" max="6" width="33.85546875" customWidth="1"/>
    <col min="7" max="7" width="15.42578125" customWidth="1"/>
    <col min="8" max="8" width="11.5703125" customWidth="1"/>
  </cols>
  <sheetData>
    <row r="1" spans="1:10" ht="15" customHeight="1" x14ac:dyDescent="0.3">
      <c r="A1" s="1"/>
      <c r="B1" s="2"/>
      <c r="C1" s="3"/>
      <c r="D1" s="4"/>
      <c r="E1" s="5"/>
      <c r="F1" s="207" t="s">
        <v>0</v>
      </c>
      <c r="G1" s="207"/>
    </row>
    <row r="2" spans="1:10" ht="18.75" x14ac:dyDescent="0.3">
      <c r="A2" s="7" t="s">
        <v>1</v>
      </c>
      <c r="B2" s="7"/>
      <c r="C2" s="3"/>
      <c r="D2" s="4"/>
      <c r="E2" s="5"/>
      <c r="F2" s="5"/>
      <c r="G2" s="8"/>
    </row>
    <row r="3" spans="1:10" ht="15" x14ac:dyDescent="0.3">
      <c r="A3" s="1"/>
      <c r="B3" s="2"/>
      <c r="C3" s="3"/>
      <c r="D3" s="4"/>
      <c r="E3" s="5"/>
      <c r="F3" s="5"/>
      <c r="G3" s="8"/>
    </row>
    <row r="4" spans="1:10" ht="15" x14ac:dyDescent="0.3">
      <c r="A4" s="1"/>
      <c r="B4" s="2"/>
      <c r="C4" s="3"/>
      <c r="D4" s="4"/>
      <c r="E4" s="5"/>
      <c r="F4" s="5"/>
      <c r="G4" s="8"/>
    </row>
    <row r="5" spans="1:10" ht="18" x14ac:dyDescent="0.25">
      <c r="A5" s="208" t="s">
        <v>346</v>
      </c>
      <c r="B5" s="208"/>
      <c r="C5" s="208"/>
      <c r="D5" s="208"/>
      <c r="E5" s="208"/>
      <c r="F5" s="208"/>
      <c r="G5" s="208"/>
    </row>
    <row r="6" spans="1:10" ht="15" x14ac:dyDescent="0.3">
      <c r="A6" s="1"/>
      <c r="B6" s="9"/>
      <c r="C6" s="9"/>
      <c r="D6" s="9"/>
      <c r="E6" s="9"/>
      <c r="F6" s="10"/>
      <c r="G6" s="11"/>
    </row>
    <row r="7" spans="1:10" x14ac:dyDescent="0.2">
      <c r="A7" s="12" t="s">
        <v>2</v>
      </c>
      <c r="B7" s="12" t="s">
        <v>3</v>
      </c>
      <c r="C7" s="13" t="s">
        <v>4</v>
      </c>
      <c r="D7" s="14" t="s">
        <v>5</v>
      </c>
      <c r="E7" s="13" t="s">
        <v>6</v>
      </c>
      <c r="F7" s="13" t="s">
        <v>7</v>
      </c>
      <c r="G7" s="13" t="s">
        <v>32</v>
      </c>
    </row>
    <row r="8" spans="1:10" ht="30" x14ac:dyDescent="0.3">
      <c r="A8" s="15">
        <v>1</v>
      </c>
      <c r="B8" s="16">
        <v>40570</v>
      </c>
      <c r="C8" s="17" t="s">
        <v>347</v>
      </c>
      <c r="D8" s="18">
        <f>+B8+30</f>
        <v>40600</v>
      </c>
      <c r="E8" s="19" t="s">
        <v>34</v>
      </c>
      <c r="F8" s="20" t="s">
        <v>35</v>
      </c>
      <c r="G8" s="21">
        <v>1785</v>
      </c>
      <c r="J8" s="35"/>
    </row>
    <row r="9" spans="1:10" ht="30" x14ac:dyDescent="0.3">
      <c r="A9" s="15">
        <v>2</v>
      </c>
      <c r="B9" s="16">
        <v>40585</v>
      </c>
      <c r="C9" s="17" t="s">
        <v>348</v>
      </c>
      <c r="D9" s="18">
        <f>+B9+30</f>
        <v>40615</v>
      </c>
      <c r="E9" s="19" t="s">
        <v>349</v>
      </c>
      <c r="F9" s="20" t="s">
        <v>350</v>
      </c>
      <c r="G9" s="21">
        <v>23430.15</v>
      </c>
      <c r="J9" s="35"/>
    </row>
    <row r="10" spans="1:10" ht="30" x14ac:dyDescent="0.3">
      <c r="A10" s="15">
        <v>3</v>
      </c>
      <c r="B10" s="16">
        <v>40592</v>
      </c>
      <c r="C10" s="17" t="s">
        <v>351</v>
      </c>
      <c r="D10" s="18">
        <f t="shared" ref="D10:D16" si="0">+B10+15</f>
        <v>40607</v>
      </c>
      <c r="E10" s="19" t="s">
        <v>55</v>
      </c>
      <c r="F10" s="20" t="s">
        <v>352</v>
      </c>
      <c r="G10" s="21">
        <v>98.02</v>
      </c>
    </row>
    <row r="11" spans="1:10" ht="30" x14ac:dyDescent="0.3">
      <c r="A11" s="15">
        <v>4</v>
      </c>
      <c r="B11" s="16">
        <v>40588</v>
      </c>
      <c r="C11" s="17" t="s">
        <v>353</v>
      </c>
      <c r="D11" s="18">
        <f t="shared" si="0"/>
        <v>40603</v>
      </c>
      <c r="E11" s="19" t="s">
        <v>55</v>
      </c>
      <c r="F11" s="20" t="s">
        <v>352</v>
      </c>
      <c r="G11" s="21">
        <v>98.02</v>
      </c>
    </row>
    <row r="12" spans="1:10" ht="30" x14ac:dyDescent="0.3">
      <c r="A12" s="15">
        <v>5</v>
      </c>
      <c r="B12" s="16">
        <v>40597</v>
      </c>
      <c r="C12" s="17" t="s">
        <v>354</v>
      </c>
      <c r="D12" s="18">
        <f t="shared" si="0"/>
        <v>40612</v>
      </c>
      <c r="E12" s="19" t="s">
        <v>55</v>
      </c>
      <c r="F12" s="20" t="s">
        <v>352</v>
      </c>
      <c r="G12" s="21">
        <v>98.02</v>
      </c>
    </row>
    <row r="13" spans="1:10" ht="30" x14ac:dyDescent="0.3">
      <c r="A13" s="15">
        <v>6</v>
      </c>
      <c r="B13" s="16">
        <v>40593</v>
      </c>
      <c r="C13" s="17" t="s">
        <v>355</v>
      </c>
      <c r="D13" s="18">
        <f t="shared" si="0"/>
        <v>40608</v>
      </c>
      <c r="E13" s="19" t="s">
        <v>55</v>
      </c>
      <c r="F13" s="20" t="s">
        <v>352</v>
      </c>
      <c r="G13" s="21">
        <v>98.02</v>
      </c>
    </row>
    <row r="14" spans="1:10" ht="30" x14ac:dyDescent="0.3">
      <c r="A14" s="15">
        <v>7</v>
      </c>
      <c r="B14" s="16">
        <v>40596</v>
      </c>
      <c r="C14" s="17" t="s">
        <v>356</v>
      </c>
      <c r="D14" s="18">
        <f t="shared" si="0"/>
        <v>40611</v>
      </c>
      <c r="E14" s="19" t="s">
        <v>55</v>
      </c>
      <c r="F14" s="20" t="s">
        <v>352</v>
      </c>
      <c r="G14" s="21">
        <v>98.02</v>
      </c>
    </row>
    <row r="15" spans="1:10" ht="30" x14ac:dyDescent="0.3">
      <c r="A15" s="15">
        <v>8</v>
      </c>
      <c r="B15" s="16">
        <v>40598</v>
      </c>
      <c r="C15" s="17" t="s">
        <v>357</v>
      </c>
      <c r="D15" s="18">
        <f t="shared" si="0"/>
        <v>40613</v>
      </c>
      <c r="E15" s="19" t="s">
        <v>55</v>
      </c>
      <c r="F15" s="20" t="s">
        <v>358</v>
      </c>
      <c r="G15" s="21">
        <v>147.03</v>
      </c>
    </row>
    <row r="16" spans="1:10" ht="30" x14ac:dyDescent="0.3">
      <c r="A16" s="15">
        <v>9</v>
      </c>
      <c r="B16" s="16">
        <v>40593</v>
      </c>
      <c r="C16" s="17" t="s">
        <v>359</v>
      </c>
      <c r="D16" s="18">
        <f t="shared" si="0"/>
        <v>40608</v>
      </c>
      <c r="E16" s="19" t="s">
        <v>233</v>
      </c>
      <c r="F16" s="20" t="s">
        <v>360</v>
      </c>
      <c r="G16" s="21">
        <f>394.5+7.89</f>
        <v>402.39</v>
      </c>
    </row>
    <row r="17" spans="1:7" ht="30" x14ac:dyDescent="0.3">
      <c r="A17" s="15">
        <v>10</v>
      </c>
      <c r="B17" s="16">
        <v>40578</v>
      </c>
      <c r="C17" s="17" t="s">
        <v>361</v>
      </c>
      <c r="D17" s="18">
        <f>+B17+30</f>
        <v>40608</v>
      </c>
      <c r="E17" s="19" t="s">
        <v>10</v>
      </c>
      <c r="F17" s="20" t="s">
        <v>362</v>
      </c>
      <c r="G17" s="21">
        <v>1399.39</v>
      </c>
    </row>
    <row r="18" spans="1:7" ht="30" x14ac:dyDescent="0.3">
      <c r="A18" s="15">
        <v>11</v>
      </c>
      <c r="B18" s="16">
        <v>40582</v>
      </c>
      <c r="C18" s="17" t="s">
        <v>363</v>
      </c>
      <c r="D18" s="18">
        <f>+B18+7</f>
        <v>40589</v>
      </c>
      <c r="E18" s="19" t="s">
        <v>364</v>
      </c>
      <c r="F18" s="20" t="s">
        <v>365</v>
      </c>
      <c r="G18" s="21">
        <v>4165</v>
      </c>
    </row>
    <row r="19" spans="1:7" ht="30" x14ac:dyDescent="0.3">
      <c r="A19" s="15">
        <v>12</v>
      </c>
      <c r="B19" s="16">
        <v>40582</v>
      </c>
      <c r="C19" s="17" t="s">
        <v>366</v>
      </c>
      <c r="D19" s="18">
        <f>+B19+7</f>
        <v>40589</v>
      </c>
      <c r="E19" s="19" t="s">
        <v>364</v>
      </c>
      <c r="F19" s="20" t="s">
        <v>367</v>
      </c>
      <c r="G19" s="21">
        <v>2380</v>
      </c>
    </row>
    <row r="20" spans="1:7" ht="30" x14ac:dyDescent="0.3">
      <c r="A20" s="15">
        <v>13</v>
      </c>
      <c r="B20" s="16">
        <v>40590</v>
      </c>
      <c r="C20" s="17" t="s">
        <v>368</v>
      </c>
      <c r="D20" s="18">
        <f t="shared" ref="D20:D29" si="1">+B20+15</f>
        <v>40605</v>
      </c>
      <c r="E20" s="19" t="s">
        <v>369</v>
      </c>
      <c r="F20" s="20" t="s">
        <v>370</v>
      </c>
      <c r="G20" s="21">
        <v>153</v>
      </c>
    </row>
    <row r="21" spans="1:7" ht="30" x14ac:dyDescent="0.3">
      <c r="A21" s="15">
        <v>14</v>
      </c>
      <c r="B21" s="16">
        <v>40591</v>
      </c>
      <c r="C21" s="17" t="s">
        <v>371</v>
      </c>
      <c r="D21" s="18">
        <f t="shared" si="1"/>
        <v>40606</v>
      </c>
      <c r="E21" s="19" t="s">
        <v>369</v>
      </c>
      <c r="F21" s="20" t="s">
        <v>372</v>
      </c>
      <c r="G21" s="21">
        <v>51</v>
      </c>
    </row>
    <row r="22" spans="1:7" ht="30" x14ac:dyDescent="0.3">
      <c r="A22" s="15">
        <v>15</v>
      </c>
      <c r="B22" s="16">
        <v>40598</v>
      </c>
      <c r="C22" s="17" t="s">
        <v>373</v>
      </c>
      <c r="D22" s="18">
        <f t="shared" si="1"/>
        <v>40613</v>
      </c>
      <c r="E22" s="19" t="s">
        <v>369</v>
      </c>
      <c r="F22" s="20" t="s">
        <v>370</v>
      </c>
      <c r="G22" s="21">
        <v>153</v>
      </c>
    </row>
    <row r="23" spans="1:7" ht="30" x14ac:dyDescent="0.3">
      <c r="A23" s="15">
        <v>16</v>
      </c>
      <c r="B23" s="16">
        <v>40592</v>
      </c>
      <c r="C23" s="17" t="s">
        <v>374</v>
      </c>
      <c r="D23" s="18">
        <f t="shared" si="1"/>
        <v>40607</v>
      </c>
      <c r="E23" s="19" t="s">
        <v>375</v>
      </c>
      <c r="F23" s="20" t="s">
        <v>86</v>
      </c>
      <c r="G23" s="21">
        <v>312.14</v>
      </c>
    </row>
    <row r="24" spans="1:7" ht="30" x14ac:dyDescent="0.3">
      <c r="A24" s="15">
        <v>17</v>
      </c>
      <c r="B24" s="16">
        <v>40578</v>
      </c>
      <c r="C24" s="17" t="s">
        <v>376</v>
      </c>
      <c r="D24" s="18">
        <f t="shared" si="1"/>
        <v>40593</v>
      </c>
      <c r="E24" s="19" t="s">
        <v>377</v>
      </c>
      <c r="F24" s="20" t="s">
        <v>378</v>
      </c>
      <c r="G24" s="21">
        <v>1228.8</v>
      </c>
    </row>
    <row r="25" spans="1:7" ht="30" x14ac:dyDescent="0.3">
      <c r="A25" s="15">
        <v>18</v>
      </c>
      <c r="B25" s="16">
        <v>40590</v>
      </c>
      <c r="C25" s="17" t="s">
        <v>379</v>
      </c>
      <c r="D25" s="18">
        <f t="shared" si="1"/>
        <v>40605</v>
      </c>
      <c r="E25" s="19" t="s">
        <v>377</v>
      </c>
      <c r="F25" s="20" t="s">
        <v>378</v>
      </c>
      <c r="G25" s="21">
        <v>1632</v>
      </c>
    </row>
    <row r="26" spans="1:7" ht="30" x14ac:dyDescent="0.3">
      <c r="A26" s="15">
        <v>19</v>
      </c>
      <c r="B26" s="16">
        <v>40596</v>
      </c>
      <c r="C26" s="17" t="s">
        <v>380</v>
      </c>
      <c r="D26" s="18">
        <f t="shared" si="1"/>
        <v>40611</v>
      </c>
      <c r="E26" s="19" t="s">
        <v>377</v>
      </c>
      <c r="F26" s="20" t="s">
        <v>378</v>
      </c>
      <c r="G26" s="21">
        <v>1564.8</v>
      </c>
    </row>
    <row r="27" spans="1:7" ht="30" x14ac:dyDescent="0.3">
      <c r="A27" s="15">
        <v>20</v>
      </c>
      <c r="B27" s="16">
        <v>40593</v>
      </c>
      <c r="C27" s="17" t="s">
        <v>381</v>
      </c>
      <c r="D27" s="18">
        <f t="shared" si="1"/>
        <v>40608</v>
      </c>
      <c r="E27" s="19" t="s">
        <v>377</v>
      </c>
      <c r="F27" s="20" t="s">
        <v>378</v>
      </c>
      <c r="G27" s="21">
        <v>2160</v>
      </c>
    </row>
    <row r="28" spans="1:7" ht="30" x14ac:dyDescent="0.3">
      <c r="A28" s="15">
        <v>21</v>
      </c>
      <c r="B28" s="16">
        <v>40597</v>
      </c>
      <c r="C28" s="17" t="s">
        <v>382</v>
      </c>
      <c r="D28" s="18">
        <f t="shared" si="1"/>
        <v>40612</v>
      </c>
      <c r="E28" s="19" t="s">
        <v>383</v>
      </c>
      <c r="F28" s="20" t="s">
        <v>384</v>
      </c>
      <c r="G28" s="21">
        <v>4319.7</v>
      </c>
    </row>
    <row r="29" spans="1:7" ht="30" x14ac:dyDescent="0.3">
      <c r="A29" s="15">
        <v>22</v>
      </c>
      <c r="B29" s="16">
        <v>40576</v>
      </c>
      <c r="C29" s="17" t="s">
        <v>385</v>
      </c>
      <c r="D29" s="18">
        <f t="shared" si="1"/>
        <v>40591</v>
      </c>
      <c r="E29" s="19" t="s">
        <v>386</v>
      </c>
      <c r="F29" s="20" t="s">
        <v>387</v>
      </c>
      <c r="G29" s="21">
        <v>267.75</v>
      </c>
    </row>
    <row r="30" spans="1:7" ht="30" x14ac:dyDescent="0.3">
      <c r="A30" s="15">
        <v>23</v>
      </c>
      <c r="B30" s="16">
        <v>40591</v>
      </c>
      <c r="C30" s="17" t="s">
        <v>388</v>
      </c>
      <c r="D30" s="18">
        <f>+B30</f>
        <v>40591</v>
      </c>
      <c r="E30" s="19" t="s">
        <v>88</v>
      </c>
      <c r="F30" s="20" t="s">
        <v>389</v>
      </c>
      <c r="G30" s="21">
        <v>1715</v>
      </c>
    </row>
    <row r="31" spans="1:7" ht="30" x14ac:dyDescent="0.3">
      <c r="A31" s="15">
        <v>24</v>
      </c>
      <c r="B31" s="16">
        <v>40575</v>
      </c>
      <c r="C31" s="17" t="s">
        <v>390</v>
      </c>
      <c r="D31" s="18">
        <f>+B31+15</f>
        <v>40590</v>
      </c>
      <c r="E31" s="19" t="s">
        <v>230</v>
      </c>
      <c r="F31" s="20" t="s">
        <v>391</v>
      </c>
      <c r="G31" s="21">
        <v>2015</v>
      </c>
    </row>
    <row r="32" spans="1:7" ht="15" x14ac:dyDescent="0.3">
      <c r="A32" s="15">
        <v>25</v>
      </c>
      <c r="B32" s="16">
        <v>40603</v>
      </c>
      <c r="C32" s="17">
        <v>74384215</v>
      </c>
      <c r="D32" s="18">
        <v>40613</v>
      </c>
      <c r="E32" s="19" t="s">
        <v>67</v>
      </c>
      <c r="F32" s="20" t="s">
        <v>392</v>
      </c>
      <c r="G32" s="21">
        <v>1673.85</v>
      </c>
    </row>
    <row r="33" spans="1:7" ht="15" x14ac:dyDescent="0.3">
      <c r="A33" s="15">
        <v>26</v>
      </c>
      <c r="B33" s="16">
        <v>40603</v>
      </c>
      <c r="C33" s="17">
        <v>62449574</v>
      </c>
      <c r="D33" s="18">
        <v>40613</v>
      </c>
      <c r="E33" s="19" t="s">
        <v>393</v>
      </c>
      <c r="F33" s="20" t="s">
        <v>394</v>
      </c>
      <c r="G33" s="21">
        <v>1121.71</v>
      </c>
    </row>
    <row r="34" spans="1:7" ht="15" x14ac:dyDescent="0.2">
      <c r="A34" s="22"/>
      <c r="B34" s="22"/>
      <c r="C34" s="23"/>
      <c r="D34" s="24"/>
      <c r="E34" s="25"/>
      <c r="F34" s="26" t="s">
        <v>24</v>
      </c>
      <c r="G34" s="36">
        <f>SUM(G8:G33)</f>
        <v>52566.81</v>
      </c>
    </row>
    <row r="35" spans="1:7" ht="15" x14ac:dyDescent="0.3">
      <c r="A35" s="1"/>
      <c r="B35" s="28"/>
      <c r="C35" s="1"/>
      <c r="D35" s="1"/>
      <c r="E35" s="1"/>
      <c r="F35" s="5"/>
      <c r="G35" s="11"/>
    </row>
    <row r="36" spans="1:7" x14ac:dyDescent="0.2">
      <c r="B36" s="35"/>
    </row>
    <row r="38" spans="1:7" x14ac:dyDescent="0.2">
      <c r="B38" s="35"/>
    </row>
    <row r="39" spans="1:7" x14ac:dyDescent="0.2">
      <c r="B39" s="35"/>
    </row>
    <row r="43" spans="1:7" ht="15" customHeight="1" x14ac:dyDescent="0.3">
      <c r="A43" s="29"/>
      <c r="B43" s="30"/>
      <c r="C43" s="37"/>
      <c r="D43" s="30"/>
      <c r="E43" s="5"/>
      <c r="F43" s="207" t="s">
        <v>0</v>
      </c>
      <c r="G43" s="207"/>
    </row>
    <row r="44" spans="1:7" ht="18.75" x14ac:dyDescent="0.3">
      <c r="A44" s="31" t="s">
        <v>1</v>
      </c>
      <c r="B44" s="29"/>
      <c r="C44" s="37"/>
      <c r="D44" s="30"/>
      <c r="E44" s="5"/>
      <c r="F44" s="29"/>
      <c r="G44" s="29"/>
    </row>
    <row r="45" spans="1:7" ht="15" x14ac:dyDescent="0.3">
      <c r="A45" s="29"/>
      <c r="B45" s="30"/>
      <c r="C45" s="37"/>
      <c r="D45" s="30"/>
      <c r="E45" s="5"/>
      <c r="F45" s="5"/>
      <c r="G45" s="32"/>
    </row>
    <row r="46" spans="1:7" ht="15" x14ac:dyDescent="0.3">
      <c r="A46" s="29"/>
      <c r="B46" s="30"/>
      <c r="C46" s="37"/>
      <c r="D46" s="30"/>
      <c r="E46" s="5"/>
      <c r="F46" s="5"/>
      <c r="G46" s="32"/>
    </row>
    <row r="47" spans="1:7" ht="18" x14ac:dyDescent="0.25">
      <c r="A47" s="208" t="s">
        <v>395</v>
      </c>
      <c r="B47" s="208"/>
      <c r="C47" s="208"/>
      <c r="D47" s="208"/>
      <c r="E47" s="208"/>
      <c r="F47" s="208"/>
      <c r="G47" s="208"/>
    </row>
    <row r="48" spans="1:7" ht="15" x14ac:dyDescent="0.3">
      <c r="A48" s="29"/>
      <c r="B48" s="9"/>
      <c r="C48" s="9"/>
      <c r="D48" s="9"/>
      <c r="E48" s="9"/>
      <c r="F48" s="10"/>
      <c r="G48" s="11"/>
    </row>
    <row r="49" spans="1:8" x14ac:dyDescent="0.2">
      <c r="A49" s="12" t="s">
        <v>2</v>
      </c>
      <c r="B49" s="12" t="s">
        <v>3</v>
      </c>
      <c r="C49" s="13" t="s">
        <v>4</v>
      </c>
      <c r="D49" s="14" t="s">
        <v>25</v>
      </c>
      <c r="E49" s="13" t="s">
        <v>6</v>
      </c>
      <c r="F49" s="13" t="s">
        <v>7</v>
      </c>
      <c r="G49" s="13" t="s">
        <v>32</v>
      </c>
    </row>
    <row r="50" spans="1:8" ht="30" x14ac:dyDescent="0.3">
      <c r="A50" s="15">
        <v>1</v>
      </c>
      <c r="B50" s="16">
        <v>40612</v>
      </c>
      <c r="C50" s="17" t="s">
        <v>396</v>
      </c>
      <c r="D50" s="18" t="s">
        <v>397</v>
      </c>
      <c r="E50" s="19" t="s">
        <v>131</v>
      </c>
      <c r="F50" s="20" t="s">
        <v>398</v>
      </c>
      <c r="G50" s="21">
        <v>814.5</v>
      </c>
      <c r="H50" t="s">
        <v>27</v>
      </c>
    </row>
    <row r="51" spans="1:8" ht="30" x14ac:dyDescent="0.3">
      <c r="A51" s="15">
        <v>2</v>
      </c>
      <c r="B51" s="16">
        <v>40608</v>
      </c>
      <c r="C51" s="17" t="s">
        <v>399</v>
      </c>
      <c r="D51" s="18" t="s">
        <v>400</v>
      </c>
      <c r="E51" s="19" t="s">
        <v>401</v>
      </c>
      <c r="F51" s="20" t="s">
        <v>402</v>
      </c>
      <c r="G51" s="21">
        <v>327.71</v>
      </c>
      <c r="H51" t="s">
        <v>27</v>
      </c>
    </row>
    <row r="52" spans="1:8" ht="15" x14ac:dyDescent="0.3">
      <c r="A52" s="15">
        <v>3</v>
      </c>
      <c r="B52" s="16">
        <v>40605</v>
      </c>
      <c r="C52" s="17" t="s">
        <v>403</v>
      </c>
      <c r="D52" s="18" t="s">
        <v>404</v>
      </c>
      <c r="E52" s="19" t="s">
        <v>405</v>
      </c>
      <c r="F52" s="20" t="s">
        <v>406</v>
      </c>
      <c r="G52" s="21">
        <v>2067.9699999999998</v>
      </c>
      <c r="H52" t="s">
        <v>27</v>
      </c>
    </row>
    <row r="53" spans="1:8" ht="15" x14ac:dyDescent="0.3">
      <c r="A53" s="15">
        <v>4</v>
      </c>
      <c r="B53" s="16">
        <v>40602</v>
      </c>
      <c r="C53" s="17" t="s">
        <v>173</v>
      </c>
      <c r="D53" s="18" t="s">
        <v>407</v>
      </c>
      <c r="E53" s="19" t="s">
        <v>408</v>
      </c>
      <c r="F53" s="20" t="s">
        <v>409</v>
      </c>
      <c r="G53" s="21">
        <v>415.98</v>
      </c>
      <c r="H53" t="s">
        <v>27</v>
      </c>
    </row>
    <row r="54" spans="1:8" ht="30" x14ac:dyDescent="0.3">
      <c r="A54" s="15">
        <v>5</v>
      </c>
      <c r="B54" s="16">
        <v>40589</v>
      </c>
      <c r="C54" s="17" t="s">
        <v>410</v>
      </c>
      <c r="D54" s="18" t="s">
        <v>411</v>
      </c>
      <c r="E54" s="19" t="s">
        <v>412</v>
      </c>
      <c r="F54" s="20" t="s">
        <v>413</v>
      </c>
      <c r="G54" s="21">
        <v>6705.59</v>
      </c>
      <c r="H54" t="s">
        <v>27</v>
      </c>
    </row>
    <row r="55" spans="1:8" ht="30" x14ac:dyDescent="0.3">
      <c r="A55" s="15">
        <v>6</v>
      </c>
      <c r="B55" s="16">
        <v>40589</v>
      </c>
      <c r="C55" s="17" t="s">
        <v>414</v>
      </c>
      <c r="D55" s="18" t="s">
        <v>415</v>
      </c>
      <c r="E55" s="19" t="s">
        <v>412</v>
      </c>
      <c r="F55" s="20" t="s">
        <v>416</v>
      </c>
      <c r="G55" s="21">
        <v>193.14</v>
      </c>
      <c r="H55" t="s">
        <v>27</v>
      </c>
    </row>
    <row r="56" spans="1:8" ht="30" x14ac:dyDescent="0.3">
      <c r="A56" s="15">
        <v>7</v>
      </c>
      <c r="B56" s="16">
        <v>40575</v>
      </c>
      <c r="C56" s="17" t="s">
        <v>417</v>
      </c>
      <c r="D56" s="18" t="s">
        <v>418</v>
      </c>
      <c r="E56" s="19" t="s">
        <v>419</v>
      </c>
      <c r="F56" s="20" t="s">
        <v>420</v>
      </c>
      <c r="G56" s="21">
        <v>3560</v>
      </c>
      <c r="H56" t="s">
        <v>103</v>
      </c>
    </row>
    <row r="57" spans="1:8" ht="60" x14ac:dyDescent="0.3">
      <c r="A57" s="15">
        <v>8</v>
      </c>
      <c r="B57" s="16">
        <v>40586</v>
      </c>
      <c r="C57" s="17" t="s">
        <v>421</v>
      </c>
      <c r="D57" s="18" t="s">
        <v>422</v>
      </c>
      <c r="E57" s="19" t="s">
        <v>423</v>
      </c>
      <c r="F57" s="20" t="s">
        <v>96</v>
      </c>
      <c r="G57" s="21">
        <f>416.5+416.5-119-119-16.66-16.66</f>
        <v>561.68000000000006</v>
      </c>
      <c r="H57" s="45" t="s">
        <v>27</v>
      </c>
    </row>
    <row r="58" spans="1:8" ht="30" x14ac:dyDescent="0.3">
      <c r="A58" s="15">
        <v>9</v>
      </c>
      <c r="B58" s="16">
        <v>40603</v>
      </c>
      <c r="C58" s="17" t="s">
        <v>424</v>
      </c>
      <c r="D58" s="18" t="s">
        <v>425</v>
      </c>
      <c r="E58" s="19" t="s">
        <v>426</v>
      </c>
      <c r="F58" s="20" t="s">
        <v>427</v>
      </c>
      <c r="G58" s="21">
        <v>142.80000000000001</v>
      </c>
      <c r="H58" s="45" t="s">
        <v>27</v>
      </c>
    </row>
    <row r="59" spans="1:8" s="1" customFormat="1" ht="45" x14ac:dyDescent="0.3">
      <c r="A59" s="15">
        <v>10</v>
      </c>
      <c r="B59" s="16">
        <v>40610</v>
      </c>
      <c r="C59" s="33" t="s">
        <v>428</v>
      </c>
      <c r="D59" s="18" t="s">
        <v>429</v>
      </c>
      <c r="E59" s="19" t="s">
        <v>430</v>
      </c>
      <c r="F59" s="20" t="s">
        <v>80</v>
      </c>
      <c r="G59" s="21">
        <v>228448</v>
      </c>
      <c r="H59" s="34" t="s">
        <v>27</v>
      </c>
    </row>
    <row r="60" spans="1:8" s="1" customFormat="1" ht="45" x14ac:dyDescent="0.3">
      <c r="A60" s="15">
        <v>11</v>
      </c>
      <c r="B60" s="16">
        <v>40610</v>
      </c>
      <c r="C60" s="33" t="s">
        <v>431</v>
      </c>
      <c r="D60" s="18" t="s">
        <v>432</v>
      </c>
      <c r="E60" s="19" t="s">
        <v>433</v>
      </c>
      <c r="F60" s="20" t="s">
        <v>434</v>
      </c>
      <c r="G60" s="21">
        <v>116230</v>
      </c>
      <c r="H60" s="34" t="s">
        <v>27</v>
      </c>
    </row>
    <row r="61" spans="1:8" s="1" customFormat="1" ht="45" x14ac:dyDescent="0.3">
      <c r="A61" s="15">
        <v>12</v>
      </c>
      <c r="B61" s="16">
        <v>40610</v>
      </c>
      <c r="C61" s="33" t="s">
        <v>435</v>
      </c>
      <c r="D61" s="18" t="s">
        <v>436</v>
      </c>
      <c r="E61" s="19" t="s">
        <v>433</v>
      </c>
      <c r="F61" s="20" t="s">
        <v>437</v>
      </c>
      <c r="G61" s="21">
        <v>114097</v>
      </c>
      <c r="H61" s="34" t="s">
        <v>27</v>
      </c>
    </row>
    <row r="62" spans="1:8" s="1" customFormat="1" ht="45" x14ac:dyDescent="0.3">
      <c r="A62" s="15">
        <v>13</v>
      </c>
      <c r="B62" s="16">
        <v>40610</v>
      </c>
      <c r="C62" s="33" t="s">
        <v>438</v>
      </c>
      <c r="D62" s="18" t="s">
        <v>439</v>
      </c>
      <c r="E62" s="19" t="s">
        <v>433</v>
      </c>
      <c r="F62" s="20" t="s">
        <v>440</v>
      </c>
      <c r="G62" s="21">
        <v>123900</v>
      </c>
      <c r="H62" s="34" t="s">
        <v>27</v>
      </c>
    </row>
    <row r="63" spans="1:8" s="1" customFormat="1" ht="30" x14ac:dyDescent="0.3">
      <c r="A63" s="15">
        <v>14</v>
      </c>
      <c r="B63" s="16">
        <v>40618</v>
      </c>
      <c r="C63" s="33" t="s">
        <v>441</v>
      </c>
      <c r="D63" s="18" t="s">
        <v>442</v>
      </c>
      <c r="E63" s="19" t="s">
        <v>305</v>
      </c>
      <c r="F63" s="20" t="s">
        <v>249</v>
      </c>
      <c r="G63" s="21">
        <v>5483.52</v>
      </c>
      <c r="H63" s="34" t="s">
        <v>27</v>
      </c>
    </row>
    <row r="64" spans="1:8" s="1" customFormat="1" ht="30" x14ac:dyDescent="0.3">
      <c r="A64" s="15">
        <v>15</v>
      </c>
      <c r="B64" s="16">
        <v>40612</v>
      </c>
      <c r="C64" s="33" t="s">
        <v>443</v>
      </c>
      <c r="D64" s="18" t="s">
        <v>444</v>
      </c>
      <c r="E64" s="19" t="s">
        <v>445</v>
      </c>
      <c r="F64" s="20" t="s">
        <v>446</v>
      </c>
      <c r="G64" s="21">
        <v>38905.919999999998</v>
      </c>
      <c r="H64" s="34" t="s">
        <v>27</v>
      </c>
    </row>
    <row r="65" spans="1:10" ht="15" x14ac:dyDescent="0.3">
      <c r="A65" s="29"/>
      <c r="B65" s="30"/>
      <c r="C65" s="37"/>
      <c r="D65" s="30"/>
      <c r="E65" s="5"/>
      <c r="F65" s="46" t="s">
        <v>24</v>
      </c>
      <c r="G65" s="36">
        <f>SUM(G50:G64)</f>
        <v>641853.81000000006</v>
      </c>
    </row>
    <row r="66" spans="1:10" x14ac:dyDescent="0.2">
      <c r="B66" s="35"/>
    </row>
    <row r="67" spans="1:10" x14ac:dyDescent="0.2">
      <c r="B67" s="35"/>
    </row>
    <row r="70" spans="1:10" x14ac:dyDescent="0.2">
      <c r="B70" s="35"/>
    </row>
    <row r="71" spans="1:10" ht="18.75" x14ac:dyDescent="0.3">
      <c r="A71" s="209" t="s">
        <v>1</v>
      </c>
      <c r="B71" s="209"/>
      <c r="C71" s="209"/>
      <c r="D71" s="209"/>
      <c r="E71" s="209"/>
      <c r="F71" s="47"/>
      <c r="G71" s="47"/>
    </row>
    <row r="72" spans="1:10" ht="15" x14ac:dyDescent="0.3">
      <c r="A72" s="1"/>
      <c r="B72" s="37"/>
      <c r="C72" s="37"/>
      <c r="D72" s="37"/>
      <c r="E72" s="47"/>
      <c r="F72" s="47"/>
      <c r="G72" s="48"/>
    </row>
    <row r="73" spans="1:10" ht="15" x14ac:dyDescent="0.3">
      <c r="A73" s="1"/>
      <c r="B73" s="37"/>
      <c r="C73" s="37"/>
      <c r="D73" s="37"/>
      <c r="E73" s="47"/>
      <c r="F73" s="47"/>
      <c r="G73" s="48"/>
    </row>
    <row r="74" spans="1:10" ht="18" x14ac:dyDescent="0.25">
      <c r="A74" s="210" t="s">
        <v>447</v>
      </c>
      <c r="B74" s="210"/>
      <c r="C74" s="210"/>
      <c r="D74" s="210"/>
      <c r="E74" s="210"/>
      <c r="F74" s="210"/>
      <c r="G74" s="210"/>
    </row>
    <row r="75" spans="1:10" ht="15" x14ac:dyDescent="0.3">
      <c r="A75" s="1"/>
      <c r="B75" s="49"/>
      <c r="C75" s="49"/>
      <c r="D75" s="49"/>
      <c r="E75" s="49"/>
      <c r="F75" s="50"/>
      <c r="G75" s="47"/>
    </row>
    <row r="76" spans="1:10" x14ac:dyDescent="0.2">
      <c r="A76" s="51" t="s">
        <v>2</v>
      </c>
      <c r="B76" s="51" t="s">
        <v>3</v>
      </c>
      <c r="C76" s="51" t="s">
        <v>4</v>
      </c>
      <c r="D76" s="51" t="s">
        <v>5</v>
      </c>
      <c r="E76" s="51" t="s">
        <v>6</v>
      </c>
      <c r="F76" s="51" t="s">
        <v>146</v>
      </c>
      <c r="G76" s="13" t="s">
        <v>32</v>
      </c>
    </row>
    <row r="77" spans="1:10" ht="30" x14ac:dyDescent="0.3">
      <c r="A77" s="52">
        <v>1</v>
      </c>
      <c r="B77" s="53">
        <v>40590</v>
      </c>
      <c r="C77" s="17" t="s">
        <v>448</v>
      </c>
      <c r="D77" s="54">
        <v>40617</v>
      </c>
      <c r="E77" s="19" t="s">
        <v>449</v>
      </c>
      <c r="F77" s="20" t="s">
        <v>450</v>
      </c>
      <c r="G77" s="21">
        <v>98</v>
      </c>
      <c r="H77" s="1" t="s">
        <v>451</v>
      </c>
      <c r="J77" t="s">
        <v>27</v>
      </c>
    </row>
    <row r="78" spans="1:10" ht="30" x14ac:dyDescent="0.3">
      <c r="A78" s="52">
        <v>2</v>
      </c>
      <c r="B78" s="53">
        <v>40569</v>
      </c>
      <c r="C78" s="17" t="s">
        <v>452</v>
      </c>
      <c r="D78" s="54">
        <v>40614</v>
      </c>
      <c r="E78" s="19" t="s">
        <v>148</v>
      </c>
      <c r="F78" s="20" t="s">
        <v>149</v>
      </c>
      <c r="G78" s="21">
        <v>4824.26</v>
      </c>
      <c r="H78" s="1" t="s">
        <v>453</v>
      </c>
      <c r="J78" t="s">
        <v>27</v>
      </c>
    </row>
    <row r="79" spans="1:10" ht="15" x14ac:dyDescent="0.3">
      <c r="A79" s="1"/>
      <c r="B79" s="37"/>
      <c r="C79" s="37"/>
      <c r="D79" s="37"/>
      <c r="E79" s="47"/>
      <c r="F79" s="51" t="s">
        <v>155</v>
      </c>
      <c r="G79" s="36">
        <f>SUM(G77:G78)</f>
        <v>4922.26</v>
      </c>
    </row>
    <row r="81" spans="1:11" x14ac:dyDescent="0.2">
      <c r="B81" s="35"/>
    </row>
    <row r="83" spans="1:11" x14ac:dyDescent="0.2">
      <c r="B83" s="35"/>
    </row>
    <row r="84" spans="1:11" ht="15" customHeight="1" x14ac:dyDescent="0.3">
      <c r="A84" s="29"/>
      <c r="B84" s="30"/>
      <c r="C84" s="37"/>
      <c r="D84" s="30"/>
      <c r="E84" s="5"/>
      <c r="F84" s="207" t="s">
        <v>0</v>
      </c>
      <c r="G84" s="207"/>
    </row>
    <row r="85" spans="1:11" ht="18.75" x14ac:dyDescent="0.3">
      <c r="A85" s="31" t="s">
        <v>1</v>
      </c>
      <c r="B85" s="29"/>
      <c r="C85" s="37"/>
      <c r="D85" s="30"/>
      <c r="E85" s="5"/>
      <c r="F85" s="29"/>
      <c r="G85" s="29"/>
    </row>
    <row r="86" spans="1:11" ht="15" x14ac:dyDescent="0.3">
      <c r="A86" s="29"/>
      <c r="B86" s="30"/>
      <c r="C86" s="37"/>
      <c r="D86" s="30"/>
      <c r="E86" s="5"/>
      <c r="F86" s="5"/>
      <c r="G86" s="32"/>
    </row>
    <row r="87" spans="1:11" ht="15" x14ac:dyDescent="0.3">
      <c r="A87" s="29"/>
      <c r="B87" s="30"/>
      <c r="C87" s="37"/>
      <c r="D87" s="30"/>
      <c r="E87" s="5"/>
      <c r="F87" s="5"/>
      <c r="G87" s="32"/>
    </row>
    <row r="88" spans="1:11" ht="18" x14ac:dyDescent="0.25">
      <c r="A88" s="208" t="s">
        <v>454</v>
      </c>
      <c r="B88" s="208"/>
      <c r="C88" s="208"/>
      <c r="D88" s="208"/>
      <c r="E88" s="208"/>
      <c r="F88" s="208"/>
      <c r="G88" s="208"/>
    </row>
    <row r="89" spans="1:11" ht="18" x14ac:dyDescent="0.25">
      <c r="A89" s="208" t="s">
        <v>157</v>
      </c>
      <c r="B89" s="208"/>
      <c r="C89" s="208"/>
      <c r="D89" s="208"/>
      <c r="E89" s="208"/>
      <c r="F89" s="208"/>
      <c r="G89" s="208"/>
    </row>
    <row r="90" spans="1:11" ht="15" x14ac:dyDescent="0.3">
      <c r="A90" s="29"/>
      <c r="B90" s="9"/>
      <c r="C90" s="9"/>
      <c r="D90" s="9"/>
      <c r="E90" s="9"/>
      <c r="F90" s="10"/>
      <c r="G90" s="11"/>
    </row>
    <row r="91" spans="1:11" x14ac:dyDescent="0.2">
      <c r="A91" s="12" t="s">
        <v>2</v>
      </c>
      <c r="B91" s="12" t="s">
        <v>3</v>
      </c>
      <c r="C91" s="13" t="s">
        <v>4</v>
      </c>
      <c r="D91" s="14" t="s">
        <v>25</v>
      </c>
      <c r="E91" s="13" t="s">
        <v>6</v>
      </c>
      <c r="F91" s="13" t="s">
        <v>7</v>
      </c>
      <c r="G91" s="13" t="s">
        <v>32</v>
      </c>
      <c r="H91" s="13" t="s">
        <v>8</v>
      </c>
    </row>
    <row r="92" spans="1:11" ht="51" customHeight="1" x14ac:dyDescent="0.3">
      <c r="A92" s="15">
        <v>1</v>
      </c>
      <c r="B92" s="16">
        <v>40609</v>
      </c>
      <c r="C92" s="17" t="s">
        <v>29</v>
      </c>
      <c r="D92" s="18" t="s">
        <v>455</v>
      </c>
      <c r="E92" s="19" t="s">
        <v>160</v>
      </c>
      <c r="F92" s="20" t="s">
        <v>456</v>
      </c>
      <c r="G92" s="21">
        <v>32013</v>
      </c>
      <c r="H92" s="21">
        <v>0</v>
      </c>
      <c r="I92" t="s">
        <v>27</v>
      </c>
      <c r="K92" s="35"/>
    </row>
    <row r="93" spans="1:11" ht="51" customHeight="1" x14ac:dyDescent="0.3">
      <c r="A93" s="15">
        <v>2</v>
      </c>
      <c r="B93" s="16">
        <v>40609</v>
      </c>
      <c r="C93" s="17" t="s">
        <v>29</v>
      </c>
      <c r="D93" s="18" t="s">
        <v>457</v>
      </c>
      <c r="E93" s="19" t="s">
        <v>160</v>
      </c>
      <c r="F93" s="20" t="s">
        <v>458</v>
      </c>
      <c r="G93" s="21">
        <v>7329</v>
      </c>
      <c r="H93" s="21">
        <v>0</v>
      </c>
      <c r="I93" t="s">
        <v>27</v>
      </c>
      <c r="K93" s="35"/>
    </row>
    <row r="94" spans="1:11" ht="51" customHeight="1" x14ac:dyDescent="0.3">
      <c r="A94" s="15">
        <v>3</v>
      </c>
      <c r="B94" s="16">
        <v>40609</v>
      </c>
      <c r="C94" s="17" t="s">
        <v>29</v>
      </c>
      <c r="D94" s="18" t="s">
        <v>459</v>
      </c>
      <c r="E94" s="19" t="s">
        <v>160</v>
      </c>
      <c r="F94" s="20" t="s">
        <v>460</v>
      </c>
      <c r="G94" s="21">
        <v>14642</v>
      </c>
      <c r="H94" s="21">
        <v>0</v>
      </c>
      <c r="I94" t="s">
        <v>27</v>
      </c>
      <c r="K94" s="35"/>
    </row>
    <row r="95" spans="1:11" ht="51" customHeight="1" x14ac:dyDescent="0.3">
      <c r="A95" s="15">
        <v>4</v>
      </c>
      <c r="B95" s="16">
        <v>40609</v>
      </c>
      <c r="C95" s="17" t="s">
        <v>29</v>
      </c>
      <c r="D95" s="18" t="s">
        <v>461</v>
      </c>
      <c r="E95" s="19" t="s">
        <v>160</v>
      </c>
      <c r="F95" s="20" t="s">
        <v>462</v>
      </c>
      <c r="G95" s="21">
        <v>2544</v>
      </c>
      <c r="H95" s="21">
        <v>0</v>
      </c>
      <c r="I95" t="s">
        <v>27</v>
      </c>
      <c r="K95" s="35"/>
    </row>
    <row r="96" spans="1:11" ht="51" customHeight="1" x14ac:dyDescent="0.3">
      <c r="A96" s="15">
        <v>5</v>
      </c>
      <c r="B96" s="16">
        <v>40612</v>
      </c>
      <c r="C96" s="17" t="s">
        <v>173</v>
      </c>
      <c r="D96" s="18" t="s">
        <v>463</v>
      </c>
      <c r="E96" s="19" t="s">
        <v>464</v>
      </c>
      <c r="F96" s="20" t="s">
        <v>465</v>
      </c>
      <c r="G96" s="21">
        <v>193.52</v>
      </c>
      <c r="H96" s="21">
        <v>0</v>
      </c>
      <c r="I96" s="45" t="s">
        <v>27</v>
      </c>
      <c r="K96" s="35"/>
    </row>
    <row r="97" spans="1:11" ht="51" customHeight="1" x14ac:dyDescent="0.3">
      <c r="A97" s="15">
        <v>6</v>
      </c>
      <c r="B97" s="16">
        <v>40612</v>
      </c>
      <c r="C97" s="17" t="s">
        <v>173</v>
      </c>
      <c r="D97" s="18" t="s">
        <v>466</v>
      </c>
      <c r="E97" s="19" t="s">
        <v>464</v>
      </c>
      <c r="F97" s="20" t="s">
        <v>467</v>
      </c>
      <c r="G97" s="21">
        <v>0</v>
      </c>
      <c r="H97" s="21">
        <v>1119.01</v>
      </c>
      <c r="I97" s="45" t="s">
        <v>27</v>
      </c>
      <c r="K97" s="35"/>
    </row>
    <row r="98" spans="1:11" ht="51" customHeight="1" x14ac:dyDescent="0.3">
      <c r="A98" s="15">
        <v>11</v>
      </c>
      <c r="B98" s="16">
        <v>40613</v>
      </c>
      <c r="C98" s="17" t="s">
        <v>173</v>
      </c>
      <c r="D98" s="18" t="s">
        <v>468</v>
      </c>
      <c r="E98" s="19" t="s">
        <v>281</v>
      </c>
      <c r="F98" s="20" t="s">
        <v>469</v>
      </c>
      <c r="G98" s="21">
        <v>0</v>
      </c>
      <c r="H98" s="21">
        <v>221.33</v>
      </c>
      <c r="I98" s="45" t="s">
        <v>27</v>
      </c>
      <c r="K98" s="35"/>
    </row>
    <row r="99" spans="1:11" ht="51" customHeight="1" x14ac:dyDescent="0.3">
      <c r="A99" s="15">
        <v>12</v>
      </c>
      <c r="B99" s="16">
        <v>40613</v>
      </c>
      <c r="C99" s="17" t="s">
        <v>173</v>
      </c>
      <c r="D99" s="18" t="s">
        <v>470</v>
      </c>
      <c r="E99" s="19" t="s">
        <v>281</v>
      </c>
      <c r="F99" s="20" t="s">
        <v>469</v>
      </c>
      <c r="G99" s="21">
        <v>541.92999999999995</v>
      </c>
      <c r="H99" s="21">
        <v>0</v>
      </c>
      <c r="I99" s="45" t="s">
        <v>27</v>
      </c>
      <c r="K99" s="35"/>
    </row>
    <row r="100" spans="1:11" ht="51" customHeight="1" x14ac:dyDescent="0.3">
      <c r="A100" s="15">
        <v>7</v>
      </c>
      <c r="B100" s="16">
        <v>40613</v>
      </c>
      <c r="C100" s="17" t="s">
        <v>173</v>
      </c>
      <c r="D100" s="18" t="s">
        <v>471</v>
      </c>
      <c r="E100" s="19" t="s">
        <v>281</v>
      </c>
      <c r="F100" s="20" t="s">
        <v>472</v>
      </c>
      <c r="G100" s="21">
        <v>670.37</v>
      </c>
      <c r="H100" s="21">
        <v>0</v>
      </c>
      <c r="I100" s="45" t="s">
        <v>27</v>
      </c>
      <c r="K100" s="35"/>
    </row>
    <row r="101" spans="1:11" ht="51" customHeight="1" x14ac:dyDescent="0.3">
      <c r="A101" s="15">
        <v>8</v>
      </c>
      <c r="B101" s="16">
        <v>40613</v>
      </c>
      <c r="C101" s="17" t="s">
        <v>173</v>
      </c>
      <c r="D101" s="18" t="s">
        <v>473</v>
      </c>
      <c r="E101" s="19" t="s">
        <v>281</v>
      </c>
      <c r="F101" s="20" t="s">
        <v>472</v>
      </c>
      <c r="G101" s="21">
        <v>0</v>
      </c>
      <c r="H101" s="21">
        <v>977.01</v>
      </c>
      <c r="I101" s="45" t="s">
        <v>27</v>
      </c>
      <c r="K101" s="35"/>
    </row>
    <row r="102" spans="1:11" ht="51" customHeight="1" x14ac:dyDescent="0.3">
      <c r="A102" s="15">
        <v>9</v>
      </c>
      <c r="B102" s="16">
        <v>40613</v>
      </c>
      <c r="C102" s="17" t="s">
        <v>173</v>
      </c>
      <c r="D102" s="18" t="s">
        <v>474</v>
      </c>
      <c r="E102" s="19" t="s">
        <v>281</v>
      </c>
      <c r="F102" s="20" t="s">
        <v>475</v>
      </c>
      <c r="G102" s="21">
        <v>0</v>
      </c>
      <c r="H102" s="21">
        <v>1089.31</v>
      </c>
      <c r="I102" s="45" t="s">
        <v>27</v>
      </c>
      <c r="K102" s="35"/>
    </row>
    <row r="103" spans="1:11" ht="51" customHeight="1" x14ac:dyDescent="0.3">
      <c r="A103" s="15">
        <v>10</v>
      </c>
      <c r="B103" s="16">
        <v>40613</v>
      </c>
      <c r="C103" s="17" t="s">
        <v>173</v>
      </c>
      <c r="D103" s="18" t="s">
        <v>476</v>
      </c>
      <c r="E103" s="19" t="s">
        <v>281</v>
      </c>
      <c r="F103" s="20" t="s">
        <v>475</v>
      </c>
      <c r="G103" s="21">
        <v>3358.56</v>
      </c>
      <c r="H103" s="21">
        <v>0</v>
      </c>
      <c r="I103" s="45" t="s">
        <v>27</v>
      </c>
      <c r="K103" s="35"/>
    </row>
    <row r="104" spans="1:11" ht="19.5" customHeight="1" x14ac:dyDescent="0.3">
      <c r="A104" s="29"/>
      <c r="B104" s="30"/>
      <c r="C104" s="37"/>
      <c r="D104" s="30"/>
      <c r="E104" s="5"/>
      <c r="F104" s="46" t="s">
        <v>24</v>
      </c>
      <c r="G104" s="36">
        <f>SUM(G92:G103)</f>
        <v>61292.38</v>
      </c>
      <c r="H104" s="27">
        <f>SUM(H92:H103)</f>
        <v>3406.66</v>
      </c>
    </row>
  </sheetData>
  <sheetProtection selectLockedCells="1" selectUnlockedCells="1"/>
  <mergeCells count="9">
    <mergeCell ref="F84:G84"/>
    <mergeCell ref="A88:G88"/>
    <mergeCell ref="A89:G89"/>
    <mergeCell ref="F1:G1"/>
    <mergeCell ref="A5:G5"/>
    <mergeCell ref="F43:G43"/>
    <mergeCell ref="A47:G47"/>
    <mergeCell ref="A71:E71"/>
    <mergeCell ref="A74:G74"/>
  </mergeCells>
  <printOptions horizontalCentered="1"/>
  <pageMargins left="0" right="0" top="0.39374999999999999" bottom="0.39374999999999999" header="0.51180555555555551" footer="0.51180555555555551"/>
  <pageSetup paperSize="9" scale="80" firstPageNumber="0" orientation="portrait" horizontalDpi="300" verticalDpi="300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0"/>
  <dimension ref="A1:L68"/>
  <sheetViews>
    <sheetView workbookViewId="0">
      <selection activeCell="H39" sqref="H39"/>
    </sheetView>
  </sheetViews>
  <sheetFormatPr baseColWidth="10" defaultColWidth="10.7109375" defaultRowHeight="12.75" x14ac:dyDescent="0.2"/>
  <cols>
    <col min="1" max="1" width="3.28515625" customWidth="1"/>
    <col min="2" max="2" width="13.28515625" customWidth="1"/>
    <col min="4" max="4" width="13.5703125" customWidth="1"/>
    <col min="5" max="5" width="20.85546875" customWidth="1"/>
    <col min="6" max="6" width="22.5703125" customWidth="1"/>
    <col min="7" max="7" width="15.7109375" customWidth="1"/>
    <col min="8" max="8" width="12" customWidth="1"/>
  </cols>
  <sheetData>
    <row r="1" spans="1:11" ht="15" customHeight="1" x14ac:dyDescent="0.3">
      <c r="A1" s="1"/>
      <c r="B1" s="2"/>
      <c r="C1" s="3"/>
      <c r="D1" s="4"/>
      <c r="E1" s="5"/>
      <c r="F1" s="207" t="s">
        <v>0</v>
      </c>
      <c r="G1" s="207"/>
    </row>
    <row r="2" spans="1:11" ht="18.75" x14ac:dyDescent="0.3">
      <c r="A2" s="7" t="s">
        <v>1</v>
      </c>
      <c r="B2" s="7"/>
      <c r="C2" s="3"/>
      <c r="D2" s="4"/>
      <c r="E2" s="5"/>
      <c r="F2" s="5"/>
      <c r="G2" s="8"/>
    </row>
    <row r="3" spans="1:11" ht="15" x14ac:dyDescent="0.3">
      <c r="A3" s="1"/>
      <c r="B3" s="2"/>
      <c r="C3" s="3"/>
      <c r="D3" s="4"/>
      <c r="E3" s="5"/>
      <c r="F3" s="5"/>
      <c r="G3" s="8"/>
    </row>
    <row r="4" spans="1:11" ht="15" x14ac:dyDescent="0.3">
      <c r="A4" s="1"/>
      <c r="B4" s="2"/>
      <c r="C4" s="3"/>
      <c r="D4" s="4"/>
      <c r="E4" s="5"/>
      <c r="F4" s="5"/>
      <c r="G4" s="8"/>
    </row>
    <row r="5" spans="1:11" ht="18" x14ac:dyDescent="0.25">
      <c r="A5" s="208" t="s">
        <v>2520</v>
      </c>
      <c r="B5" s="208"/>
      <c r="C5" s="208"/>
      <c r="D5" s="208"/>
      <c r="E5" s="208"/>
      <c r="F5" s="208"/>
      <c r="G5" s="208"/>
    </row>
    <row r="6" spans="1:11" ht="15" x14ac:dyDescent="0.3">
      <c r="A6" s="1"/>
      <c r="B6" s="9"/>
      <c r="C6" s="9"/>
      <c r="D6" s="9"/>
      <c r="E6" s="9"/>
      <c r="F6" s="10"/>
      <c r="G6" s="11"/>
    </row>
    <row r="7" spans="1:11" x14ac:dyDescent="0.2">
      <c r="A7" s="12" t="s">
        <v>2</v>
      </c>
      <c r="B7" s="12" t="s">
        <v>3</v>
      </c>
      <c r="C7" s="13" t="s">
        <v>4</v>
      </c>
      <c r="D7" s="14" t="s">
        <v>5</v>
      </c>
      <c r="E7" s="13" t="s">
        <v>6</v>
      </c>
      <c r="F7" s="13" t="s">
        <v>7</v>
      </c>
      <c r="G7" s="13" t="s">
        <v>32</v>
      </c>
    </row>
    <row r="8" spans="1:11" ht="45" x14ac:dyDescent="0.3">
      <c r="A8" s="15">
        <v>1</v>
      </c>
      <c r="B8" s="16">
        <v>40996</v>
      </c>
      <c r="C8" s="33" t="s">
        <v>2521</v>
      </c>
      <c r="D8" s="18">
        <f>+B8</f>
        <v>40996</v>
      </c>
      <c r="E8" s="19" t="s">
        <v>219</v>
      </c>
      <c r="F8" s="19" t="s">
        <v>2522</v>
      </c>
      <c r="G8" s="21">
        <v>4979.6000000000004</v>
      </c>
    </row>
    <row r="9" spans="1:11" ht="45" x14ac:dyDescent="0.3">
      <c r="A9" s="15">
        <v>2</v>
      </c>
      <c r="B9" s="16">
        <v>40996</v>
      </c>
      <c r="C9" s="33" t="s">
        <v>2523</v>
      </c>
      <c r="D9" s="18">
        <f>+B9</f>
        <v>40996</v>
      </c>
      <c r="E9" s="19" t="s">
        <v>219</v>
      </c>
      <c r="F9" s="19" t="s">
        <v>2524</v>
      </c>
      <c r="G9" s="21">
        <v>12460.8</v>
      </c>
    </row>
    <row r="10" spans="1:11" ht="30" x14ac:dyDescent="0.3">
      <c r="A10" s="15">
        <v>3</v>
      </c>
      <c r="B10" s="16">
        <v>40994</v>
      </c>
      <c r="C10" s="33" t="s">
        <v>2525</v>
      </c>
      <c r="D10" s="18">
        <f t="shared" ref="D10:D16" si="0">+B10+15</f>
        <v>41009</v>
      </c>
      <c r="E10" s="19" t="s">
        <v>309</v>
      </c>
      <c r="F10" s="19" t="s">
        <v>2359</v>
      </c>
      <c r="G10" s="21">
        <v>1035.23</v>
      </c>
    </row>
    <row r="11" spans="1:11" ht="30" x14ac:dyDescent="0.3">
      <c r="A11" s="15">
        <v>4</v>
      </c>
      <c r="B11" s="16">
        <v>40994</v>
      </c>
      <c r="C11" s="33" t="s">
        <v>2526</v>
      </c>
      <c r="D11" s="18">
        <f t="shared" si="0"/>
        <v>41009</v>
      </c>
      <c r="E11" s="19" t="s">
        <v>309</v>
      </c>
      <c r="F11" s="19" t="s">
        <v>2359</v>
      </c>
      <c r="G11" s="21">
        <v>1984.19</v>
      </c>
      <c r="K11" s="35"/>
    </row>
    <row r="12" spans="1:11" ht="30" x14ac:dyDescent="0.3">
      <c r="A12" s="15">
        <v>5</v>
      </c>
      <c r="B12" s="16">
        <v>40990</v>
      </c>
      <c r="C12" s="33" t="s">
        <v>2527</v>
      </c>
      <c r="D12" s="18">
        <f t="shared" si="0"/>
        <v>41005</v>
      </c>
      <c r="E12" s="19" t="s">
        <v>233</v>
      </c>
      <c r="F12" s="19" t="s">
        <v>1862</v>
      </c>
      <c r="G12" s="21">
        <f>138+2.76</f>
        <v>140.76</v>
      </c>
      <c r="K12" s="35"/>
    </row>
    <row r="13" spans="1:11" ht="30" x14ac:dyDescent="0.3">
      <c r="A13" s="15">
        <v>6</v>
      </c>
      <c r="B13" s="16">
        <v>40990</v>
      </c>
      <c r="C13" s="33" t="s">
        <v>2528</v>
      </c>
      <c r="D13" s="18">
        <f t="shared" si="0"/>
        <v>41005</v>
      </c>
      <c r="E13" s="19" t="s">
        <v>2529</v>
      </c>
      <c r="F13" s="19" t="s">
        <v>1862</v>
      </c>
      <c r="G13" s="21">
        <f>138+2.76</f>
        <v>140.76</v>
      </c>
    </row>
    <row r="14" spans="1:11" ht="30" x14ac:dyDescent="0.3">
      <c r="A14" s="15">
        <v>7</v>
      </c>
      <c r="B14" s="16">
        <v>40983</v>
      </c>
      <c r="C14" s="33" t="s">
        <v>2530</v>
      </c>
      <c r="D14" s="18">
        <f t="shared" si="0"/>
        <v>40998</v>
      </c>
      <c r="E14" s="19" t="s">
        <v>233</v>
      </c>
      <c r="F14" s="19" t="s">
        <v>1862</v>
      </c>
      <c r="G14" s="21">
        <f>138+2.76</f>
        <v>140.76</v>
      </c>
    </row>
    <row r="15" spans="1:11" ht="30" x14ac:dyDescent="0.3">
      <c r="A15" s="15">
        <v>8</v>
      </c>
      <c r="B15" s="16">
        <v>40983</v>
      </c>
      <c r="C15" s="33" t="s">
        <v>2531</v>
      </c>
      <c r="D15" s="18">
        <f t="shared" si="0"/>
        <v>40998</v>
      </c>
      <c r="E15" s="19" t="s">
        <v>233</v>
      </c>
      <c r="F15" s="19" t="s">
        <v>1862</v>
      </c>
      <c r="G15" s="21">
        <f>138+2.76</f>
        <v>140.76</v>
      </c>
    </row>
    <row r="16" spans="1:11" ht="30" x14ac:dyDescent="0.3">
      <c r="A16" s="15">
        <v>9</v>
      </c>
      <c r="B16" s="16">
        <v>40994</v>
      </c>
      <c r="C16" s="33" t="s">
        <v>2532</v>
      </c>
      <c r="D16" s="18">
        <f t="shared" si="0"/>
        <v>41009</v>
      </c>
      <c r="E16" s="19" t="s">
        <v>19</v>
      </c>
      <c r="F16" s="19" t="s">
        <v>65</v>
      </c>
      <c r="G16" s="21">
        <v>660.8</v>
      </c>
    </row>
    <row r="17" spans="1:12" ht="30" x14ac:dyDescent="0.3">
      <c r="A17" s="15">
        <v>10</v>
      </c>
      <c r="B17" s="16">
        <v>40988</v>
      </c>
      <c r="C17" s="33" t="s">
        <v>2533</v>
      </c>
      <c r="D17" s="18">
        <f>+B17+7</f>
        <v>40995</v>
      </c>
      <c r="E17" s="19" t="s">
        <v>530</v>
      </c>
      <c r="F17" s="19" t="s">
        <v>2534</v>
      </c>
      <c r="G17" s="21">
        <v>14.16</v>
      </c>
    </row>
    <row r="18" spans="1:12" ht="30" x14ac:dyDescent="0.3">
      <c r="A18" s="15">
        <v>11</v>
      </c>
      <c r="B18" s="16">
        <v>40997</v>
      </c>
      <c r="C18" s="33" t="s">
        <v>2535</v>
      </c>
      <c r="D18" s="18">
        <f>+B18</f>
        <v>40997</v>
      </c>
      <c r="E18" s="19" t="s">
        <v>34</v>
      </c>
      <c r="F18" s="19" t="s">
        <v>2536</v>
      </c>
      <c r="G18" s="21">
        <v>2360</v>
      </c>
    </row>
    <row r="19" spans="1:12" ht="30" x14ac:dyDescent="0.3">
      <c r="A19" s="15">
        <v>12</v>
      </c>
      <c r="B19" s="16">
        <v>40940</v>
      </c>
      <c r="C19" s="33" t="s">
        <v>2537</v>
      </c>
      <c r="D19" s="18">
        <v>40968</v>
      </c>
      <c r="E19" s="19" t="s">
        <v>67</v>
      </c>
      <c r="F19" s="19" t="s">
        <v>2538</v>
      </c>
      <c r="G19" s="21">
        <v>1975.45</v>
      </c>
    </row>
    <row r="20" spans="1:12" ht="15" x14ac:dyDescent="0.2">
      <c r="A20" s="22"/>
      <c r="B20" s="22"/>
      <c r="C20" s="23"/>
      <c r="D20" s="24"/>
      <c r="E20" s="25"/>
      <c r="F20" s="26" t="s">
        <v>24</v>
      </c>
      <c r="G20" s="36">
        <f>SUM(G8:G19)</f>
        <v>26033.269999999993</v>
      </c>
    </row>
    <row r="24" spans="1:12" ht="12.75" customHeight="1" x14ac:dyDescent="0.2">
      <c r="F24" s="207" t="s">
        <v>0</v>
      </c>
      <c r="G24" s="207"/>
    </row>
    <row r="25" spans="1:12" ht="18.75" x14ac:dyDescent="0.3">
      <c r="A25" s="31" t="s">
        <v>1</v>
      </c>
      <c r="B25" s="29"/>
      <c r="C25" s="37"/>
      <c r="D25" s="30"/>
      <c r="E25" s="5"/>
      <c r="F25" s="29"/>
      <c r="G25" s="29"/>
    </row>
    <row r="26" spans="1:12" ht="15" x14ac:dyDescent="0.3">
      <c r="A26" s="29"/>
      <c r="B26" s="30"/>
      <c r="C26" s="37"/>
      <c r="D26" s="30"/>
      <c r="E26" s="5"/>
      <c r="F26" s="5"/>
      <c r="G26" s="32"/>
    </row>
    <row r="27" spans="1:12" ht="18" x14ac:dyDescent="0.25">
      <c r="A27" s="208" t="s">
        <v>2539</v>
      </c>
      <c r="B27" s="208"/>
      <c r="C27" s="208"/>
      <c r="D27" s="208"/>
      <c r="E27" s="208"/>
      <c r="F27" s="208"/>
      <c r="G27" s="208"/>
      <c r="J27" s="35"/>
      <c r="K27" s="35"/>
    </row>
    <row r="28" spans="1:12" ht="15" x14ac:dyDescent="0.3">
      <c r="A28" s="29"/>
      <c r="B28" s="9"/>
      <c r="C28" s="9"/>
      <c r="D28" s="9"/>
      <c r="E28" s="9"/>
      <c r="F28" s="10"/>
      <c r="G28" s="11"/>
      <c r="J28" s="35"/>
      <c r="K28" s="35"/>
      <c r="L28" s="35"/>
    </row>
    <row r="29" spans="1:12" x14ac:dyDescent="0.2">
      <c r="A29" s="12" t="s">
        <v>2</v>
      </c>
      <c r="B29" s="12" t="s">
        <v>3</v>
      </c>
      <c r="C29" s="13" t="s">
        <v>4</v>
      </c>
      <c r="D29" s="14" t="s">
        <v>25</v>
      </c>
      <c r="E29" s="13" t="s">
        <v>6</v>
      </c>
      <c r="F29" s="13" t="s">
        <v>7</v>
      </c>
      <c r="G29" s="13" t="s">
        <v>32</v>
      </c>
    </row>
    <row r="30" spans="1:12" ht="60" x14ac:dyDescent="0.3">
      <c r="A30" s="15">
        <v>1</v>
      </c>
      <c r="B30" s="16">
        <v>41008</v>
      </c>
      <c r="C30" s="33" t="s">
        <v>1406</v>
      </c>
      <c r="D30" s="18" t="s">
        <v>2540</v>
      </c>
      <c r="E30" s="19" t="s">
        <v>1771</v>
      </c>
      <c r="F30" s="19" t="s">
        <v>2541</v>
      </c>
      <c r="G30" s="21">
        <v>2585.17</v>
      </c>
      <c r="H30" t="s">
        <v>27</v>
      </c>
    </row>
    <row r="31" spans="1:12" ht="30" x14ac:dyDescent="0.3">
      <c r="A31" s="15">
        <v>2</v>
      </c>
      <c r="B31" s="16">
        <v>41018</v>
      </c>
      <c r="C31" s="33" t="s">
        <v>403</v>
      </c>
      <c r="D31" s="18" t="s">
        <v>2542</v>
      </c>
      <c r="E31" s="19" t="s">
        <v>405</v>
      </c>
      <c r="F31" s="19" t="s">
        <v>2543</v>
      </c>
      <c r="G31" s="21">
        <v>1410.5</v>
      </c>
      <c r="H31" s="45" t="s">
        <v>27</v>
      </c>
    </row>
    <row r="32" spans="1:12" ht="75" x14ac:dyDescent="0.3">
      <c r="A32" s="15">
        <v>3</v>
      </c>
      <c r="B32" s="16">
        <v>41008</v>
      </c>
      <c r="C32" s="33" t="s">
        <v>1406</v>
      </c>
      <c r="D32" s="18" t="s">
        <v>2544</v>
      </c>
      <c r="E32" s="19" t="s">
        <v>408</v>
      </c>
      <c r="F32" s="19" t="s">
        <v>2545</v>
      </c>
      <c r="G32" s="21">
        <v>398.17</v>
      </c>
      <c r="H32" s="45" t="s">
        <v>27</v>
      </c>
    </row>
    <row r="33" spans="1:8" ht="60" x14ac:dyDescent="0.3">
      <c r="A33" s="15">
        <v>4</v>
      </c>
      <c r="B33" s="16">
        <v>41008</v>
      </c>
      <c r="C33" s="33" t="s">
        <v>1406</v>
      </c>
      <c r="D33" s="18" t="s">
        <v>2546</v>
      </c>
      <c r="E33" s="19" t="s">
        <v>832</v>
      </c>
      <c r="F33" s="19" t="s">
        <v>2547</v>
      </c>
      <c r="G33" s="21">
        <v>9.56</v>
      </c>
      <c r="H33" s="59" t="s">
        <v>27</v>
      </c>
    </row>
    <row r="34" spans="1:8" ht="45" x14ac:dyDescent="0.3">
      <c r="A34" s="15">
        <v>5</v>
      </c>
      <c r="B34" s="16">
        <v>41008</v>
      </c>
      <c r="C34" s="33" t="s">
        <v>1406</v>
      </c>
      <c r="D34" s="18" t="s">
        <v>2548</v>
      </c>
      <c r="E34" s="19" t="s">
        <v>1189</v>
      </c>
      <c r="F34" s="19" t="s">
        <v>2549</v>
      </c>
      <c r="G34" s="21">
        <v>971.1</v>
      </c>
      <c r="H34" s="59" t="s">
        <v>27</v>
      </c>
    </row>
    <row r="35" spans="1:8" ht="30" x14ac:dyDescent="0.3">
      <c r="A35" s="15">
        <v>6</v>
      </c>
      <c r="B35" s="16">
        <v>40992</v>
      </c>
      <c r="C35" s="33" t="s">
        <v>2550</v>
      </c>
      <c r="D35" s="18" t="s">
        <v>2551</v>
      </c>
      <c r="E35" s="19" t="s">
        <v>1990</v>
      </c>
      <c r="F35" s="19" t="s">
        <v>2552</v>
      </c>
      <c r="G35" s="21">
        <v>195</v>
      </c>
      <c r="H35" s="59" t="s">
        <v>27</v>
      </c>
    </row>
    <row r="36" spans="1:8" ht="30" x14ac:dyDescent="0.3">
      <c r="A36" s="15">
        <v>7</v>
      </c>
      <c r="B36" s="16">
        <v>41010</v>
      </c>
      <c r="C36" s="33" t="s">
        <v>1406</v>
      </c>
      <c r="D36" s="18" t="s">
        <v>2553</v>
      </c>
      <c r="E36" s="19" t="s">
        <v>121</v>
      </c>
      <c r="F36" s="19" t="s">
        <v>2554</v>
      </c>
      <c r="G36" s="21">
        <v>32230</v>
      </c>
      <c r="H36" s="59" t="s">
        <v>27</v>
      </c>
    </row>
    <row r="37" spans="1:8" ht="45" x14ac:dyDescent="0.3">
      <c r="A37" s="15">
        <v>8</v>
      </c>
      <c r="B37" s="16">
        <v>41011</v>
      </c>
      <c r="C37" s="33" t="s">
        <v>29</v>
      </c>
      <c r="D37" s="18" t="s">
        <v>2555</v>
      </c>
      <c r="E37" s="19" t="s">
        <v>1419</v>
      </c>
      <c r="F37" s="19" t="s">
        <v>2556</v>
      </c>
      <c r="G37" s="21">
        <v>1200</v>
      </c>
      <c r="H37" s="59" t="s">
        <v>27</v>
      </c>
    </row>
    <row r="38" spans="1:8" ht="45" x14ac:dyDescent="0.3">
      <c r="A38" s="15"/>
      <c r="B38" s="16">
        <v>41011</v>
      </c>
      <c r="C38" s="33" t="s">
        <v>1406</v>
      </c>
      <c r="D38" s="18" t="s">
        <v>2557</v>
      </c>
      <c r="E38" s="19" t="s">
        <v>121</v>
      </c>
      <c r="F38" s="19" t="s">
        <v>2558</v>
      </c>
      <c r="G38" s="21">
        <v>274156</v>
      </c>
      <c r="H38" s="59" t="s">
        <v>27</v>
      </c>
    </row>
    <row r="39" spans="1:8" ht="45" x14ac:dyDescent="0.3">
      <c r="A39" s="15"/>
      <c r="B39" s="16">
        <v>41011</v>
      </c>
      <c r="C39" s="33" t="s">
        <v>1406</v>
      </c>
      <c r="D39" s="18" t="s">
        <v>2559</v>
      </c>
      <c r="E39" s="19" t="s">
        <v>121</v>
      </c>
      <c r="F39" s="19" t="s">
        <v>2560</v>
      </c>
      <c r="G39" s="21">
        <v>24274</v>
      </c>
      <c r="H39" s="59" t="s">
        <v>27</v>
      </c>
    </row>
    <row r="40" spans="1:8" ht="15" x14ac:dyDescent="0.3">
      <c r="A40" s="29"/>
      <c r="B40" s="30"/>
      <c r="C40" s="37"/>
      <c r="D40" s="30"/>
      <c r="E40" s="5"/>
      <c r="F40" s="46" t="s">
        <v>24</v>
      </c>
      <c r="G40" s="36">
        <f>SUM(G30:G39)</f>
        <v>337429.5</v>
      </c>
      <c r="H40" s="104"/>
    </row>
    <row r="43" spans="1:8" ht="12.75" customHeight="1" x14ac:dyDescent="0.2">
      <c r="F43" s="207" t="s">
        <v>0</v>
      </c>
      <c r="G43" s="207"/>
    </row>
    <row r="44" spans="1:8" ht="18.75" x14ac:dyDescent="0.3">
      <c r="A44" s="31" t="s">
        <v>1</v>
      </c>
      <c r="B44" s="29"/>
      <c r="C44" s="37"/>
      <c r="D44" s="30"/>
      <c r="E44" s="5"/>
      <c r="F44" s="29"/>
      <c r="G44" s="29"/>
    </row>
    <row r="45" spans="1:8" ht="15" x14ac:dyDescent="0.3">
      <c r="A45" s="29"/>
      <c r="B45" s="30"/>
      <c r="C45" s="37"/>
      <c r="D45" s="30"/>
      <c r="E45" s="5"/>
      <c r="F45" s="5"/>
      <c r="G45" s="32"/>
    </row>
    <row r="46" spans="1:8" ht="18" x14ac:dyDescent="0.25">
      <c r="A46" s="208" t="s">
        <v>2561</v>
      </c>
      <c r="B46" s="208"/>
      <c r="C46" s="208"/>
      <c r="D46" s="208"/>
      <c r="E46" s="208"/>
      <c r="F46" s="208"/>
      <c r="G46" s="208"/>
    </row>
    <row r="47" spans="1:8" ht="18" x14ac:dyDescent="0.25">
      <c r="A47" s="208" t="s">
        <v>157</v>
      </c>
      <c r="B47" s="208"/>
      <c r="C47" s="208"/>
      <c r="D47" s="208"/>
      <c r="E47" s="208"/>
      <c r="F47" s="208"/>
      <c r="G47" s="208"/>
    </row>
    <row r="48" spans="1:8" ht="15" x14ac:dyDescent="0.3">
      <c r="A48" s="29"/>
      <c r="B48" s="9"/>
      <c r="C48" s="9"/>
      <c r="D48" s="9"/>
      <c r="E48" s="9"/>
      <c r="F48" s="10"/>
      <c r="G48" s="11"/>
    </row>
    <row r="49" spans="1:9" x14ac:dyDescent="0.2">
      <c r="A49" s="12" t="s">
        <v>2</v>
      </c>
      <c r="B49" s="12" t="s">
        <v>3</v>
      </c>
      <c r="C49" s="13" t="s">
        <v>4</v>
      </c>
      <c r="D49" s="14" t="s">
        <v>25</v>
      </c>
      <c r="E49" s="13" t="s">
        <v>6</v>
      </c>
      <c r="F49" s="13" t="s">
        <v>7</v>
      </c>
      <c r="G49" s="13" t="s">
        <v>32</v>
      </c>
      <c r="H49" s="13" t="s">
        <v>8</v>
      </c>
    </row>
    <row r="50" spans="1:9" ht="15" x14ac:dyDescent="0.3">
      <c r="A50" s="15">
        <v>1</v>
      </c>
      <c r="B50" s="16"/>
      <c r="C50" s="33"/>
      <c r="D50" s="18"/>
      <c r="E50" s="19"/>
      <c r="F50" s="19"/>
      <c r="G50" s="21"/>
      <c r="H50" s="21"/>
    </row>
    <row r="51" spans="1:9" ht="15" x14ac:dyDescent="0.3">
      <c r="A51" s="15">
        <v>2</v>
      </c>
      <c r="B51" s="16"/>
      <c r="C51" s="33"/>
      <c r="D51" s="18"/>
      <c r="E51" s="19"/>
      <c r="F51" s="19"/>
      <c r="G51" s="21"/>
      <c r="H51" s="21"/>
    </row>
    <row r="52" spans="1:9" ht="15" x14ac:dyDescent="0.3">
      <c r="A52" s="15">
        <v>3</v>
      </c>
      <c r="B52" s="16"/>
      <c r="C52" s="33"/>
      <c r="D52" s="18"/>
      <c r="E52" s="19"/>
      <c r="F52" s="19"/>
      <c r="G52" s="21"/>
      <c r="H52" s="21"/>
    </row>
    <row r="53" spans="1:9" ht="15" x14ac:dyDescent="0.3">
      <c r="A53" s="29"/>
      <c r="B53" s="30"/>
      <c r="C53" s="37"/>
      <c r="D53" s="30"/>
      <c r="E53" s="5"/>
      <c r="F53" s="46" t="s">
        <v>24</v>
      </c>
      <c r="G53" s="36">
        <f>SUM(G50:G52)</f>
        <v>0</v>
      </c>
      <c r="H53" s="27">
        <f>SUM(H50:H52)</f>
        <v>0</v>
      </c>
    </row>
    <row r="54" spans="1:9" x14ac:dyDescent="0.2">
      <c r="B54" s="35"/>
    </row>
    <row r="55" spans="1:9" x14ac:dyDescent="0.2">
      <c r="B55" s="35"/>
    </row>
    <row r="56" spans="1:9" x14ac:dyDescent="0.2">
      <c r="A56" s="216" t="s">
        <v>1807</v>
      </c>
      <c r="B56" s="216"/>
      <c r="C56" s="216"/>
      <c r="D56" s="216"/>
      <c r="E56" s="216"/>
      <c r="F56" s="216"/>
      <c r="G56" s="216"/>
      <c r="I56" s="35"/>
    </row>
    <row r="57" spans="1:9" x14ac:dyDescent="0.2">
      <c r="A57" s="216"/>
      <c r="B57" s="216"/>
      <c r="C57" s="216"/>
      <c r="D57" s="216"/>
      <c r="E57" s="216"/>
      <c r="F57" s="216"/>
      <c r="G57" s="216"/>
      <c r="I57" s="35"/>
    </row>
    <row r="58" spans="1:9" x14ac:dyDescent="0.2">
      <c r="A58" s="216"/>
      <c r="B58" s="216"/>
      <c r="C58" s="216"/>
      <c r="D58" s="216"/>
      <c r="E58" s="216"/>
      <c r="F58" s="216"/>
      <c r="G58" s="216"/>
    </row>
    <row r="60" spans="1:9" ht="15" customHeight="1" x14ac:dyDescent="0.3">
      <c r="A60" s="1"/>
      <c r="B60" s="2"/>
      <c r="C60" s="3"/>
      <c r="D60" s="4"/>
      <c r="E60" s="5"/>
      <c r="F60" s="207" t="s">
        <v>0</v>
      </c>
      <c r="G60" s="207"/>
    </row>
    <row r="61" spans="1:9" ht="18.75" x14ac:dyDescent="0.3">
      <c r="A61" s="7" t="s">
        <v>1</v>
      </c>
      <c r="B61" s="7"/>
      <c r="C61" s="3"/>
      <c r="D61" s="4"/>
      <c r="E61" s="5"/>
      <c r="F61" s="5"/>
      <c r="G61" s="8"/>
    </row>
    <row r="62" spans="1:9" ht="15" x14ac:dyDescent="0.3">
      <c r="A62" s="1"/>
      <c r="B62" s="2"/>
      <c r="C62" s="3"/>
      <c r="D62" s="4"/>
      <c r="E62" s="5"/>
      <c r="F62" s="5"/>
      <c r="G62" s="8"/>
    </row>
    <row r="63" spans="1:9" ht="15" x14ac:dyDescent="0.3">
      <c r="A63" s="1"/>
      <c r="B63" s="2"/>
      <c r="C63" s="3"/>
      <c r="D63" s="4"/>
      <c r="E63" s="5"/>
      <c r="F63" s="5"/>
      <c r="G63" s="8"/>
    </row>
    <row r="64" spans="1:9" ht="18" x14ac:dyDescent="0.25">
      <c r="A64" s="208" t="s">
        <v>2520</v>
      </c>
      <c r="B64" s="208"/>
      <c r="C64" s="208"/>
      <c r="D64" s="208"/>
      <c r="E64" s="208"/>
      <c r="F64" s="208"/>
      <c r="G64" s="208"/>
    </row>
    <row r="65" spans="1:7" ht="15" x14ac:dyDescent="0.3">
      <c r="A65" s="1"/>
      <c r="B65" s="9"/>
      <c r="C65" s="9"/>
      <c r="D65" s="9"/>
      <c r="E65" s="9"/>
      <c r="F65" s="10"/>
      <c r="G65" s="11"/>
    </row>
    <row r="66" spans="1:7" x14ac:dyDescent="0.2">
      <c r="A66" s="12" t="s">
        <v>2</v>
      </c>
      <c r="B66" s="12" t="s">
        <v>3</v>
      </c>
      <c r="C66" s="13" t="s">
        <v>4</v>
      </c>
      <c r="D66" s="14" t="s">
        <v>5</v>
      </c>
      <c r="E66" s="13" t="s">
        <v>6</v>
      </c>
      <c r="F66" s="13" t="s">
        <v>7</v>
      </c>
      <c r="G66" s="13" t="s">
        <v>32</v>
      </c>
    </row>
    <row r="67" spans="1:7" ht="45" x14ac:dyDescent="0.3">
      <c r="A67" s="15">
        <v>1</v>
      </c>
      <c r="B67" s="16">
        <v>40981</v>
      </c>
      <c r="C67" s="33" t="s">
        <v>2562</v>
      </c>
      <c r="D67" s="18">
        <f>+B67+15</f>
        <v>40996</v>
      </c>
      <c r="E67" s="19" t="s">
        <v>1823</v>
      </c>
      <c r="F67" s="19" t="s">
        <v>303</v>
      </c>
      <c r="G67" s="21">
        <v>141.6</v>
      </c>
    </row>
    <row r="68" spans="1:7" ht="15" x14ac:dyDescent="0.2">
      <c r="A68" s="22"/>
      <c r="B68" s="22"/>
      <c r="C68" s="23"/>
      <c r="D68" s="24"/>
      <c r="E68" s="25"/>
      <c r="F68" s="26" t="s">
        <v>24</v>
      </c>
      <c r="G68" s="36">
        <f>SUM(G67:G67)</f>
        <v>141.6</v>
      </c>
    </row>
  </sheetData>
  <sheetProtection selectLockedCells="1" selectUnlockedCells="1"/>
  <mergeCells count="10">
    <mergeCell ref="A47:G47"/>
    <mergeCell ref="A56:G58"/>
    <mergeCell ref="F60:G60"/>
    <mergeCell ref="A64:G64"/>
    <mergeCell ref="F1:G1"/>
    <mergeCell ref="A5:G5"/>
    <mergeCell ref="F24:G24"/>
    <mergeCell ref="A27:G27"/>
    <mergeCell ref="F43:G43"/>
    <mergeCell ref="A46:G46"/>
  </mergeCells>
  <printOptions horizontalCentered="1"/>
  <pageMargins left="0" right="0" top="0.74791666666666667" bottom="0.74791666666666667" header="0.51180555555555551" footer="0.51180555555555551"/>
  <pageSetup paperSize="9" scale="90" firstPageNumber="0" orientation="portrait" horizontalDpi="300" verticalDpi="300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1"/>
  <dimension ref="A1:I68"/>
  <sheetViews>
    <sheetView workbookViewId="0">
      <selection activeCell="H39" sqref="H39"/>
    </sheetView>
  </sheetViews>
  <sheetFormatPr baseColWidth="10" defaultColWidth="10.7109375" defaultRowHeight="12.75" x14ac:dyDescent="0.2"/>
  <cols>
    <col min="1" max="1" width="4.85546875" customWidth="1"/>
    <col min="2" max="2" width="12.5703125" customWidth="1"/>
    <col min="4" max="4" width="13" customWidth="1"/>
    <col min="5" max="5" width="30.85546875" customWidth="1"/>
    <col min="6" max="6" width="32.5703125" customWidth="1"/>
    <col min="7" max="7" width="13.28515625" customWidth="1"/>
  </cols>
  <sheetData>
    <row r="1" spans="1:7" ht="15" customHeight="1" x14ac:dyDescent="0.3">
      <c r="A1" s="1"/>
      <c r="B1" s="2"/>
      <c r="C1" s="3"/>
      <c r="D1" s="4"/>
      <c r="E1" s="5"/>
      <c r="F1" s="207" t="s">
        <v>0</v>
      </c>
      <c r="G1" s="207"/>
    </row>
    <row r="2" spans="1:7" ht="18.75" x14ac:dyDescent="0.3">
      <c r="A2" s="7" t="s">
        <v>1</v>
      </c>
      <c r="B2" s="7"/>
      <c r="C2" s="3"/>
      <c r="D2" s="4"/>
      <c r="E2" s="5"/>
      <c r="F2" s="5"/>
      <c r="G2" s="8"/>
    </row>
    <row r="3" spans="1:7" ht="15" x14ac:dyDescent="0.3">
      <c r="A3" s="1"/>
      <c r="B3" s="2"/>
      <c r="C3" s="3"/>
      <c r="D3" s="4"/>
      <c r="E3" s="5"/>
      <c r="F3" s="5"/>
      <c r="G3" s="8"/>
    </row>
    <row r="4" spans="1:7" ht="15" x14ac:dyDescent="0.3">
      <c r="A4" s="1"/>
      <c r="B4" s="2"/>
      <c r="C4" s="3"/>
      <c r="D4" s="4"/>
      <c r="E4" s="5"/>
      <c r="F4" s="5"/>
      <c r="G4" s="8"/>
    </row>
    <row r="5" spans="1:7" ht="18" x14ac:dyDescent="0.25">
      <c r="A5" s="208" t="s">
        <v>2563</v>
      </c>
      <c r="B5" s="208"/>
      <c r="C5" s="208"/>
      <c r="D5" s="208"/>
      <c r="E5" s="208"/>
      <c r="F5" s="208"/>
      <c r="G5" s="208"/>
    </row>
    <row r="6" spans="1:7" ht="15" x14ac:dyDescent="0.3">
      <c r="A6" s="1"/>
      <c r="B6" s="9"/>
      <c r="C6" s="9"/>
      <c r="D6" s="9"/>
      <c r="E6" s="9"/>
      <c r="F6" s="10"/>
      <c r="G6" s="11"/>
    </row>
    <row r="7" spans="1:7" x14ac:dyDescent="0.2">
      <c r="A7" s="12" t="s">
        <v>2</v>
      </c>
      <c r="B7" s="12" t="s">
        <v>3</v>
      </c>
      <c r="C7" s="13" t="s">
        <v>4</v>
      </c>
      <c r="D7" s="14" t="s">
        <v>5</v>
      </c>
      <c r="E7" s="13" t="s">
        <v>6</v>
      </c>
      <c r="F7" s="13" t="s">
        <v>7</v>
      </c>
      <c r="G7" s="13" t="s">
        <v>8</v>
      </c>
    </row>
    <row r="8" spans="1:7" ht="26.25" x14ac:dyDescent="0.3">
      <c r="A8" s="15">
        <v>1</v>
      </c>
      <c r="B8" s="16">
        <v>40982</v>
      </c>
      <c r="C8" s="33" t="s">
        <v>2564</v>
      </c>
      <c r="D8" s="18">
        <f>+B8+30</f>
        <v>41012</v>
      </c>
      <c r="E8" s="19" t="s">
        <v>2565</v>
      </c>
      <c r="F8" s="19" t="s">
        <v>2566</v>
      </c>
      <c r="G8" s="21">
        <v>1512.43</v>
      </c>
    </row>
    <row r="9" spans="1:7" ht="30" x14ac:dyDescent="0.3">
      <c r="A9" s="15">
        <v>2</v>
      </c>
      <c r="B9" s="16">
        <v>40978</v>
      </c>
      <c r="C9" s="33" t="s">
        <v>2567</v>
      </c>
      <c r="D9" s="18">
        <f>+B9+30</f>
        <v>41008</v>
      </c>
      <c r="E9" s="19" t="s">
        <v>1458</v>
      </c>
      <c r="F9" s="19" t="s">
        <v>2568</v>
      </c>
      <c r="G9" s="21">
        <v>23.9</v>
      </c>
    </row>
    <row r="10" spans="1:7" ht="30" x14ac:dyDescent="0.3">
      <c r="A10" s="15">
        <v>3</v>
      </c>
      <c r="B10" s="16">
        <v>40978</v>
      </c>
      <c r="C10" s="33" t="s">
        <v>2569</v>
      </c>
      <c r="D10" s="18">
        <f>+B10+30</f>
        <v>41008</v>
      </c>
      <c r="E10" s="19" t="s">
        <v>1458</v>
      </c>
      <c r="F10" s="19" t="s">
        <v>2570</v>
      </c>
      <c r="G10" s="21">
        <v>111.92</v>
      </c>
    </row>
    <row r="11" spans="1:7" ht="30" x14ac:dyDescent="0.3">
      <c r="A11" s="15">
        <v>4</v>
      </c>
      <c r="B11" s="16">
        <v>40994</v>
      </c>
      <c r="C11" s="33" t="s">
        <v>2571</v>
      </c>
      <c r="D11" s="18">
        <f>+B11+15</f>
        <v>41009</v>
      </c>
      <c r="E11" s="19" t="s">
        <v>309</v>
      </c>
      <c r="F11" s="19" t="s">
        <v>2572</v>
      </c>
      <c r="G11" s="21">
        <v>70.8</v>
      </c>
    </row>
    <row r="12" spans="1:7" ht="15" x14ac:dyDescent="0.2">
      <c r="A12" s="22"/>
      <c r="B12" s="22"/>
      <c r="C12" s="23"/>
      <c r="D12" s="24"/>
      <c r="E12" s="25"/>
      <c r="F12" s="26" t="s">
        <v>24</v>
      </c>
      <c r="G12" s="27">
        <f>SUM(G8:G11)</f>
        <v>1719.0500000000002</v>
      </c>
    </row>
    <row r="18" spans="1:8" ht="15" customHeight="1" x14ac:dyDescent="0.3">
      <c r="A18" s="29"/>
      <c r="B18" s="30"/>
      <c r="C18" s="37"/>
      <c r="D18" s="30"/>
      <c r="E18" s="5"/>
      <c r="F18" s="207" t="s">
        <v>0</v>
      </c>
      <c r="G18" s="207"/>
    </row>
    <row r="19" spans="1:8" ht="18.75" x14ac:dyDescent="0.3">
      <c r="A19" s="31" t="s">
        <v>1</v>
      </c>
      <c r="B19" s="29"/>
      <c r="C19" s="37"/>
      <c r="D19" s="30"/>
      <c r="E19" s="5"/>
      <c r="F19" s="29"/>
      <c r="G19" s="29"/>
    </row>
    <row r="20" spans="1:8" ht="15" x14ac:dyDescent="0.3">
      <c r="A20" s="29"/>
      <c r="B20" s="30"/>
      <c r="C20" s="37"/>
      <c r="D20" s="30"/>
      <c r="E20" s="5"/>
      <c r="F20" s="5"/>
      <c r="G20" s="32"/>
    </row>
    <row r="21" spans="1:8" ht="18" x14ac:dyDescent="0.25">
      <c r="A21" s="208" t="s">
        <v>2573</v>
      </c>
      <c r="B21" s="208"/>
      <c r="C21" s="208"/>
      <c r="D21" s="208"/>
      <c r="E21" s="208"/>
      <c r="F21" s="208"/>
      <c r="G21" s="208"/>
    </row>
    <row r="22" spans="1:8" ht="15" x14ac:dyDescent="0.3">
      <c r="A22" s="29"/>
      <c r="B22" s="9"/>
      <c r="C22" s="9"/>
      <c r="D22" s="9"/>
      <c r="E22" s="9"/>
      <c r="F22" s="10"/>
      <c r="G22" s="11"/>
    </row>
    <row r="23" spans="1:8" x14ac:dyDescent="0.2">
      <c r="A23" s="12" t="s">
        <v>2</v>
      </c>
      <c r="B23" s="12" t="s">
        <v>3</v>
      </c>
      <c r="C23" s="13" t="s">
        <v>4</v>
      </c>
      <c r="D23" s="14" t="s">
        <v>25</v>
      </c>
      <c r="E23" s="13" t="s">
        <v>6</v>
      </c>
      <c r="F23" s="13" t="s">
        <v>7</v>
      </c>
      <c r="G23" s="13" t="s">
        <v>8</v>
      </c>
    </row>
    <row r="24" spans="1:8" ht="60" x14ac:dyDescent="0.3">
      <c r="A24" s="15">
        <v>1</v>
      </c>
      <c r="B24" s="16">
        <v>41014</v>
      </c>
      <c r="C24" s="17" t="s">
        <v>2574</v>
      </c>
      <c r="D24" s="18" t="s">
        <v>2575</v>
      </c>
      <c r="E24" s="19" t="s">
        <v>1217</v>
      </c>
      <c r="F24" s="19" t="s">
        <v>2576</v>
      </c>
      <c r="G24" s="21">
        <v>841.62</v>
      </c>
      <c r="H24" s="45" t="s">
        <v>27</v>
      </c>
    </row>
    <row r="25" spans="1:8" ht="30" x14ac:dyDescent="0.3">
      <c r="A25" s="15">
        <v>2</v>
      </c>
      <c r="B25" s="16">
        <v>41012</v>
      </c>
      <c r="C25" s="17" t="s">
        <v>2577</v>
      </c>
      <c r="D25" s="18" t="s">
        <v>2578</v>
      </c>
      <c r="E25" s="19" t="s">
        <v>2455</v>
      </c>
      <c r="F25" s="19" t="s">
        <v>669</v>
      </c>
      <c r="G25" s="21">
        <v>19353.18</v>
      </c>
      <c r="H25" s="45" t="s">
        <v>27</v>
      </c>
    </row>
    <row r="26" spans="1:8" ht="75" x14ac:dyDescent="0.3">
      <c r="A26" s="15">
        <v>3</v>
      </c>
      <c r="B26" s="16">
        <v>41009</v>
      </c>
      <c r="C26" s="17" t="s">
        <v>2579</v>
      </c>
      <c r="D26" s="18" t="s">
        <v>2580</v>
      </c>
      <c r="E26" s="19" t="s">
        <v>2581</v>
      </c>
      <c r="F26" s="19" t="s">
        <v>2582</v>
      </c>
      <c r="G26" s="21">
        <f>25.37+26.43+31.72+63.44</f>
        <v>146.95999999999998</v>
      </c>
      <c r="H26" s="45" t="s">
        <v>27</v>
      </c>
    </row>
    <row r="27" spans="1:8" ht="30" x14ac:dyDescent="0.3">
      <c r="A27" s="15">
        <v>4</v>
      </c>
      <c r="B27" s="16">
        <v>40989</v>
      </c>
      <c r="C27" s="17" t="s">
        <v>2583</v>
      </c>
      <c r="D27" s="18" t="s">
        <v>2584</v>
      </c>
      <c r="E27" s="19" t="s">
        <v>2063</v>
      </c>
      <c r="F27" s="19" t="s">
        <v>2585</v>
      </c>
      <c r="G27" s="21">
        <v>304.91000000000003</v>
      </c>
      <c r="H27" s="59" t="s">
        <v>27</v>
      </c>
    </row>
    <row r="28" spans="1:8" ht="30" x14ac:dyDescent="0.3">
      <c r="A28" s="15">
        <v>5</v>
      </c>
      <c r="B28" s="16">
        <v>41006</v>
      </c>
      <c r="C28" s="17" t="s">
        <v>2586</v>
      </c>
      <c r="D28" s="18" t="s">
        <v>2587</v>
      </c>
      <c r="E28" s="19" t="s">
        <v>2340</v>
      </c>
      <c r="F28" s="19" t="s">
        <v>2588</v>
      </c>
      <c r="G28" s="21">
        <v>165.2</v>
      </c>
      <c r="H28" s="59" t="s">
        <v>27</v>
      </c>
    </row>
    <row r="29" spans="1:8" ht="30" x14ac:dyDescent="0.3">
      <c r="A29" s="15">
        <v>6</v>
      </c>
      <c r="B29" s="16">
        <v>41021</v>
      </c>
      <c r="C29" s="17" t="s">
        <v>2589</v>
      </c>
      <c r="D29" s="18" t="s">
        <v>2590</v>
      </c>
      <c r="E29" s="19" t="s">
        <v>709</v>
      </c>
      <c r="F29" s="19" t="s">
        <v>1449</v>
      </c>
      <c r="G29" s="21">
        <v>1117.54</v>
      </c>
      <c r="H29" s="59" t="s">
        <v>27</v>
      </c>
    </row>
    <row r="30" spans="1:8" ht="30" x14ac:dyDescent="0.3">
      <c r="A30" s="15">
        <v>7</v>
      </c>
      <c r="B30" s="16">
        <v>41024</v>
      </c>
      <c r="C30" s="17" t="s">
        <v>2591</v>
      </c>
      <c r="D30" s="18" t="s">
        <v>2592</v>
      </c>
      <c r="E30" s="19" t="s">
        <v>709</v>
      </c>
      <c r="F30" s="19" t="s">
        <v>1449</v>
      </c>
      <c r="G30" s="21">
        <v>4322.3999999999996</v>
      </c>
      <c r="H30" s="59" t="s">
        <v>27</v>
      </c>
    </row>
    <row r="31" spans="1:8" x14ac:dyDescent="0.2">
      <c r="B31" s="35"/>
      <c r="F31" s="26" t="s">
        <v>24</v>
      </c>
      <c r="G31" s="27">
        <f>SUM(G24:G30)</f>
        <v>26251.809999999998</v>
      </c>
    </row>
    <row r="36" spans="1:9" ht="15" customHeight="1" x14ac:dyDescent="0.3">
      <c r="A36" s="29"/>
      <c r="B36" s="30"/>
      <c r="C36" s="37"/>
      <c r="D36" s="30"/>
      <c r="E36" s="5"/>
      <c r="F36" s="207" t="s">
        <v>0</v>
      </c>
      <c r="G36" s="207"/>
    </row>
    <row r="37" spans="1:9" ht="18.75" x14ac:dyDescent="0.3">
      <c r="A37" s="31" t="s">
        <v>1</v>
      </c>
      <c r="B37" s="29"/>
      <c r="C37" s="37"/>
      <c r="D37" s="30"/>
      <c r="E37" s="5"/>
      <c r="F37" s="29"/>
      <c r="G37" s="29"/>
    </row>
    <row r="38" spans="1:9" ht="15" x14ac:dyDescent="0.3">
      <c r="A38" s="29"/>
      <c r="B38" s="30"/>
      <c r="C38" s="37"/>
      <c r="D38" s="30"/>
      <c r="E38" s="5"/>
      <c r="F38" s="5"/>
      <c r="G38" s="32"/>
    </row>
    <row r="39" spans="1:9" ht="18" x14ac:dyDescent="0.25">
      <c r="A39" s="208" t="s">
        <v>2593</v>
      </c>
      <c r="B39" s="208"/>
      <c r="C39" s="208"/>
      <c r="D39" s="208"/>
      <c r="E39" s="208"/>
      <c r="F39" s="208"/>
      <c r="G39" s="208"/>
    </row>
    <row r="40" spans="1:9" ht="15" x14ac:dyDescent="0.3">
      <c r="A40" s="29"/>
      <c r="B40" s="9"/>
      <c r="C40" s="9"/>
      <c r="D40" s="9"/>
      <c r="E40" s="9"/>
      <c r="F40" s="10"/>
      <c r="G40" s="11"/>
    </row>
    <row r="41" spans="1:9" x14ac:dyDescent="0.2">
      <c r="A41" s="12" t="s">
        <v>2</v>
      </c>
      <c r="B41" s="12" t="s">
        <v>3</v>
      </c>
      <c r="C41" s="13" t="s">
        <v>4</v>
      </c>
      <c r="D41" s="14" t="s">
        <v>5</v>
      </c>
      <c r="E41" s="13" t="s">
        <v>6</v>
      </c>
      <c r="F41" s="13" t="s">
        <v>146</v>
      </c>
      <c r="G41" s="13" t="s">
        <v>8</v>
      </c>
    </row>
    <row r="42" spans="1:9" ht="15" x14ac:dyDescent="0.3">
      <c r="A42" s="15">
        <v>1</v>
      </c>
      <c r="B42" s="16">
        <v>40952</v>
      </c>
      <c r="C42" s="33" t="s">
        <v>2594</v>
      </c>
      <c r="D42" s="18">
        <v>41012</v>
      </c>
      <c r="E42" s="19" t="s">
        <v>669</v>
      </c>
      <c r="F42" s="19" t="s">
        <v>306</v>
      </c>
      <c r="G42" s="21">
        <v>28150.080000000002</v>
      </c>
      <c r="H42" s="45" t="s">
        <v>2595</v>
      </c>
      <c r="I42" t="s">
        <v>27</v>
      </c>
    </row>
    <row r="43" spans="1:9" ht="15" x14ac:dyDescent="0.3">
      <c r="A43" s="15">
        <v>2</v>
      </c>
      <c r="B43" s="16">
        <v>40955</v>
      </c>
      <c r="C43" s="33" t="s">
        <v>2596</v>
      </c>
      <c r="D43" s="18">
        <v>41015</v>
      </c>
      <c r="E43" s="19" t="s">
        <v>669</v>
      </c>
      <c r="F43" s="19" t="s">
        <v>306</v>
      </c>
      <c r="G43" s="21">
        <v>2764.74</v>
      </c>
      <c r="H43" s="45" t="s">
        <v>2597</v>
      </c>
      <c r="I43" t="s">
        <v>27</v>
      </c>
    </row>
    <row r="44" spans="1:9" ht="26.25" x14ac:dyDescent="0.3">
      <c r="A44" s="15">
        <v>3</v>
      </c>
      <c r="B44" s="16">
        <v>40961</v>
      </c>
      <c r="C44" s="33" t="s">
        <v>2598</v>
      </c>
      <c r="D44" s="18">
        <v>41022</v>
      </c>
      <c r="E44" s="19" t="s">
        <v>523</v>
      </c>
      <c r="F44" s="19" t="s">
        <v>306</v>
      </c>
      <c r="G44" s="21">
        <v>16719.21</v>
      </c>
      <c r="H44" s="45" t="s">
        <v>2599</v>
      </c>
      <c r="I44" t="s">
        <v>27</v>
      </c>
    </row>
    <row r="45" spans="1:9" ht="26.25" x14ac:dyDescent="0.3">
      <c r="A45" s="15">
        <v>4</v>
      </c>
      <c r="B45" s="16">
        <v>40961</v>
      </c>
      <c r="C45" s="33" t="s">
        <v>2600</v>
      </c>
      <c r="D45" s="18">
        <v>41022</v>
      </c>
      <c r="E45" s="19" t="s">
        <v>2601</v>
      </c>
      <c r="F45" s="19" t="s">
        <v>1118</v>
      </c>
      <c r="G45" s="21">
        <v>6931.92</v>
      </c>
      <c r="H45" s="59" t="s">
        <v>2602</v>
      </c>
      <c r="I45" t="s">
        <v>27</v>
      </c>
    </row>
    <row r="46" spans="1:9" x14ac:dyDescent="0.2">
      <c r="F46" s="26" t="s">
        <v>24</v>
      </c>
      <c r="G46" s="27">
        <f>SUM(G42:G45)</f>
        <v>54565.95</v>
      </c>
    </row>
    <row r="52" spans="1:7" x14ac:dyDescent="0.2">
      <c r="A52" s="216" t="s">
        <v>1807</v>
      </c>
      <c r="B52" s="216"/>
      <c r="C52" s="216"/>
      <c r="D52" s="216"/>
      <c r="E52" s="216"/>
      <c r="F52" s="216"/>
      <c r="G52" s="216"/>
    </row>
    <row r="53" spans="1:7" x14ac:dyDescent="0.2">
      <c r="A53" s="216"/>
      <c r="B53" s="216"/>
      <c r="C53" s="216"/>
      <c r="D53" s="216"/>
      <c r="E53" s="216"/>
      <c r="F53" s="216"/>
      <c r="G53" s="216"/>
    </row>
    <row r="54" spans="1:7" x14ac:dyDescent="0.2">
      <c r="A54" s="216"/>
      <c r="B54" s="216"/>
      <c r="C54" s="216"/>
      <c r="D54" s="216"/>
      <c r="E54" s="216"/>
      <c r="F54" s="216"/>
      <c r="G54" s="216"/>
    </row>
    <row r="57" spans="1:7" ht="15" customHeight="1" x14ac:dyDescent="0.3">
      <c r="A57" s="1"/>
      <c r="B57" s="2"/>
      <c r="C57" s="3"/>
      <c r="D57" s="4"/>
      <c r="E57" s="5"/>
      <c r="F57" s="207" t="s">
        <v>0</v>
      </c>
      <c r="G57" s="207"/>
    </row>
    <row r="58" spans="1:7" ht="18.75" x14ac:dyDescent="0.3">
      <c r="A58" s="7" t="s">
        <v>1</v>
      </c>
      <c r="B58" s="7"/>
      <c r="C58" s="3"/>
      <c r="D58" s="4"/>
      <c r="E58" s="5"/>
      <c r="F58" s="5"/>
      <c r="G58" s="8"/>
    </row>
    <row r="59" spans="1:7" ht="15" x14ac:dyDescent="0.3">
      <c r="A59" s="1"/>
      <c r="B59" s="2"/>
      <c r="C59" s="3"/>
      <c r="D59" s="4"/>
      <c r="E59" s="5"/>
      <c r="F59" s="5"/>
      <c r="G59" s="8"/>
    </row>
    <row r="60" spans="1:7" ht="15" x14ac:dyDescent="0.3">
      <c r="A60" s="1"/>
      <c r="B60" s="2"/>
      <c r="C60" s="3"/>
      <c r="D60" s="4"/>
      <c r="E60" s="5"/>
      <c r="F60" s="5"/>
      <c r="G60" s="8"/>
    </row>
    <row r="61" spans="1:7" ht="18" x14ac:dyDescent="0.25">
      <c r="A61" s="208" t="s">
        <v>2563</v>
      </c>
      <c r="B61" s="208"/>
      <c r="C61" s="208"/>
      <c r="D61" s="208"/>
      <c r="E61" s="208"/>
      <c r="F61" s="208"/>
      <c r="G61" s="208"/>
    </row>
    <row r="62" spans="1:7" ht="15" x14ac:dyDescent="0.3">
      <c r="A62" s="1"/>
      <c r="B62" s="9"/>
      <c r="C62" s="9"/>
      <c r="D62" s="9"/>
      <c r="E62" s="9"/>
      <c r="F62" s="10"/>
      <c r="G62" s="11"/>
    </row>
    <row r="63" spans="1:7" x14ac:dyDescent="0.2">
      <c r="A63" s="12" t="s">
        <v>2</v>
      </c>
      <c r="B63" s="12" t="s">
        <v>3</v>
      </c>
      <c r="C63" s="13" t="s">
        <v>4</v>
      </c>
      <c r="D63" s="14" t="s">
        <v>5</v>
      </c>
      <c r="E63" s="13" t="s">
        <v>6</v>
      </c>
      <c r="F63" s="13" t="s">
        <v>7</v>
      </c>
      <c r="G63" s="13" t="s">
        <v>8</v>
      </c>
    </row>
    <row r="64" spans="1:7" ht="15" x14ac:dyDescent="0.3">
      <c r="A64" s="15">
        <v>1</v>
      </c>
      <c r="B64" s="16"/>
      <c r="C64" s="33"/>
      <c r="D64" s="18"/>
      <c r="E64" s="19"/>
      <c r="F64" s="19"/>
      <c r="G64" s="21"/>
    </row>
    <row r="65" spans="1:7" ht="15" x14ac:dyDescent="0.3">
      <c r="A65" s="15">
        <v>2</v>
      </c>
      <c r="B65" s="16"/>
      <c r="C65" s="33"/>
      <c r="D65" s="18"/>
      <c r="E65" s="19"/>
      <c r="F65" s="19"/>
      <c r="G65" s="21"/>
    </row>
    <row r="66" spans="1:7" ht="15" x14ac:dyDescent="0.3">
      <c r="A66" s="15">
        <v>3</v>
      </c>
      <c r="B66" s="16"/>
      <c r="C66" s="33"/>
      <c r="D66" s="18"/>
      <c r="E66" s="19"/>
      <c r="F66" s="19"/>
      <c r="G66" s="21"/>
    </row>
    <row r="67" spans="1:7" ht="15" x14ac:dyDescent="0.3">
      <c r="A67" s="15">
        <v>4</v>
      </c>
      <c r="B67" s="16"/>
      <c r="C67" s="33"/>
      <c r="D67" s="18"/>
      <c r="E67" s="19"/>
      <c r="F67" s="19"/>
      <c r="G67" s="21"/>
    </row>
    <row r="68" spans="1:7" ht="15" x14ac:dyDescent="0.2">
      <c r="A68" s="22"/>
      <c r="B68" s="22"/>
      <c r="C68" s="23"/>
      <c r="D68" s="24"/>
      <c r="E68" s="25"/>
      <c r="F68" s="26" t="s">
        <v>24</v>
      </c>
      <c r="G68" s="27">
        <f>SUM(G64:G67)</f>
        <v>0</v>
      </c>
    </row>
  </sheetData>
  <sheetProtection selectLockedCells="1" selectUnlockedCells="1"/>
  <mergeCells count="9">
    <mergeCell ref="A52:G54"/>
    <mergeCell ref="F57:G57"/>
    <mergeCell ref="A61:G61"/>
    <mergeCell ref="F1:G1"/>
    <mergeCell ref="A5:G5"/>
    <mergeCell ref="F18:G18"/>
    <mergeCell ref="A21:G21"/>
    <mergeCell ref="F36:G36"/>
    <mergeCell ref="A39:G39"/>
  </mergeCells>
  <printOptions horizontalCentered="1"/>
  <pageMargins left="0" right="0" top="0.74791666666666667" bottom="0.74791666666666667" header="0.51180555555555551" footer="0.51180555555555551"/>
  <pageSetup firstPageNumber="0" orientation="portrait" horizontalDpi="300" verticalDpi="30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2"/>
  <dimension ref="A1:L72"/>
  <sheetViews>
    <sheetView workbookViewId="0">
      <selection activeCell="H39" sqref="H39"/>
    </sheetView>
  </sheetViews>
  <sheetFormatPr baseColWidth="10" defaultColWidth="10.7109375" defaultRowHeight="12.75" x14ac:dyDescent="0.2"/>
  <cols>
    <col min="1" max="1" width="3.28515625" customWidth="1"/>
    <col min="2" max="2" width="13.28515625" customWidth="1"/>
    <col min="4" max="4" width="13.5703125" customWidth="1"/>
    <col min="5" max="5" width="20.85546875" customWidth="1"/>
    <col min="6" max="6" width="22.85546875" customWidth="1"/>
    <col min="7" max="7" width="15.7109375" customWidth="1"/>
    <col min="8" max="8" width="12" customWidth="1"/>
  </cols>
  <sheetData>
    <row r="1" spans="1:11" ht="15" customHeight="1" x14ac:dyDescent="0.3">
      <c r="A1" s="1"/>
      <c r="B1" s="2"/>
      <c r="C1" s="3"/>
      <c r="D1" s="4"/>
      <c r="E1" s="5"/>
      <c r="F1" s="207" t="s">
        <v>0</v>
      </c>
      <c r="G1" s="207"/>
    </row>
    <row r="2" spans="1:11" ht="18.75" x14ac:dyDescent="0.3">
      <c r="A2" s="7" t="s">
        <v>1</v>
      </c>
      <c r="B2" s="7"/>
      <c r="C2" s="3"/>
      <c r="D2" s="4"/>
      <c r="E2" s="5"/>
      <c r="F2" s="5"/>
      <c r="G2" s="8"/>
    </row>
    <row r="3" spans="1:11" ht="15" x14ac:dyDescent="0.3">
      <c r="A3" s="1"/>
      <c r="B3" s="2"/>
      <c r="C3" s="3"/>
      <c r="D3" s="4"/>
      <c r="E3" s="5"/>
      <c r="F3" s="5"/>
      <c r="G3" s="8"/>
    </row>
    <row r="4" spans="1:11" ht="15" x14ac:dyDescent="0.3">
      <c r="A4" s="1"/>
      <c r="B4" s="2"/>
      <c r="C4" s="3"/>
      <c r="D4" s="4"/>
      <c r="E4" s="5"/>
      <c r="F4" s="5"/>
      <c r="G4" s="8"/>
    </row>
    <row r="5" spans="1:11" ht="18" x14ac:dyDescent="0.25">
      <c r="A5" s="208" t="s">
        <v>2603</v>
      </c>
      <c r="B5" s="208"/>
      <c r="C5" s="208"/>
      <c r="D5" s="208"/>
      <c r="E5" s="208"/>
      <c r="F5" s="208"/>
      <c r="G5" s="208"/>
    </row>
    <row r="6" spans="1:11" ht="15" x14ac:dyDescent="0.3">
      <c r="A6" s="1"/>
      <c r="B6" s="9"/>
      <c r="C6" s="9"/>
      <c r="D6" s="9"/>
      <c r="E6" s="9"/>
      <c r="F6" s="10"/>
      <c r="G6" s="11"/>
    </row>
    <row r="7" spans="1:11" x14ac:dyDescent="0.2">
      <c r="A7" s="12" t="s">
        <v>2</v>
      </c>
      <c r="B7" s="12" t="s">
        <v>3</v>
      </c>
      <c r="C7" s="13" t="s">
        <v>4</v>
      </c>
      <c r="D7" s="14" t="s">
        <v>5</v>
      </c>
      <c r="E7" s="13" t="s">
        <v>6</v>
      </c>
      <c r="F7" s="13" t="s">
        <v>7</v>
      </c>
      <c r="G7" s="13" t="s">
        <v>32</v>
      </c>
    </row>
    <row r="8" spans="1:11" ht="45" x14ac:dyDescent="0.3">
      <c r="A8" s="15">
        <v>1</v>
      </c>
      <c r="B8" s="16">
        <v>40987</v>
      </c>
      <c r="C8" s="33" t="s">
        <v>2604</v>
      </c>
      <c r="D8" s="18">
        <f>+B8+30</f>
        <v>41017</v>
      </c>
      <c r="E8" s="19" t="s">
        <v>2605</v>
      </c>
      <c r="F8" s="19" t="s">
        <v>2606</v>
      </c>
      <c r="G8" s="21">
        <v>1170.56</v>
      </c>
    </row>
    <row r="9" spans="1:11" ht="45" x14ac:dyDescent="0.3">
      <c r="A9" s="15">
        <v>2</v>
      </c>
      <c r="B9" s="16">
        <v>40987</v>
      </c>
      <c r="C9" s="33" t="s">
        <v>2607</v>
      </c>
      <c r="D9" s="18">
        <f>+B9+30</f>
        <v>41017</v>
      </c>
      <c r="E9" s="19" t="s">
        <v>2605</v>
      </c>
      <c r="F9" s="19" t="s">
        <v>2608</v>
      </c>
      <c r="G9" s="21">
        <v>389.4</v>
      </c>
    </row>
    <row r="10" spans="1:11" ht="45" x14ac:dyDescent="0.3">
      <c r="A10" s="15">
        <v>3</v>
      </c>
      <c r="B10" s="16">
        <v>40988</v>
      </c>
      <c r="C10" s="33" t="s">
        <v>2609</v>
      </c>
      <c r="D10" s="18">
        <f>+B10+30</f>
        <v>41018</v>
      </c>
      <c r="E10" s="19" t="s">
        <v>1458</v>
      </c>
      <c r="F10" s="19" t="s">
        <v>2610</v>
      </c>
      <c r="G10" s="21">
        <v>50.74</v>
      </c>
    </row>
    <row r="11" spans="1:11" ht="30" x14ac:dyDescent="0.3">
      <c r="A11" s="15">
        <v>4</v>
      </c>
      <c r="B11" s="16">
        <v>40969</v>
      </c>
      <c r="C11" s="33">
        <v>74487156</v>
      </c>
      <c r="D11" s="18">
        <v>40999</v>
      </c>
      <c r="E11" s="19" t="s">
        <v>67</v>
      </c>
      <c r="F11" s="19" t="s">
        <v>2611</v>
      </c>
      <c r="G11" s="21">
        <v>1253.08</v>
      </c>
      <c r="K11" s="35"/>
    </row>
    <row r="12" spans="1:11" ht="30" x14ac:dyDescent="0.3">
      <c r="A12" s="15">
        <v>5</v>
      </c>
      <c r="B12" s="16">
        <v>40969</v>
      </c>
      <c r="C12" s="33">
        <v>62554009</v>
      </c>
      <c r="D12" s="18">
        <v>40999</v>
      </c>
      <c r="E12" s="19" t="s">
        <v>2612</v>
      </c>
      <c r="F12" s="19" t="s">
        <v>2613</v>
      </c>
      <c r="G12" s="21">
        <v>808.67</v>
      </c>
      <c r="K12" s="35"/>
    </row>
    <row r="13" spans="1:11" ht="30" x14ac:dyDescent="0.3">
      <c r="A13" s="15">
        <v>6</v>
      </c>
      <c r="B13" s="16">
        <v>41000</v>
      </c>
      <c r="C13" s="33">
        <v>74497637</v>
      </c>
      <c r="D13" s="18">
        <v>41029</v>
      </c>
      <c r="E13" s="19" t="s">
        <v>67</v>
      </c>
      <c r="F13" s="19" t="s">
        <v>2614</v>
      </c>
      <c r="G13" s="21">
        <v>1088.24</v>
      </c>
    </row>
    <row r="14" spans="1:11" ht="30" x14ac:dyDescent="0.3">
      <c r="A14" s="15">
        <v>7</v>
      </c>
      <c r="B14" s="16">
        <v>41000</v>
      </c>
      <c r="C14" s="33">
        <v>62564627</v>
      </c>
      <c r="D14" s="18">
        <v>41029</v>
      </c>
      <c r="E14" s="19" t="s">
        <v>2612</v>
      </c>
      <c r="F14" s="19" t="s">
        <v>2615</v>
      </c>
      <c r="G14" s="21">
        <v>762.47</v>
      </c>
    </row>
    <row r="15" spans="1:11" ht="15" x14ac:dyDescent="0.2">
      <c r="A15" s="22"/>
      <c r="B15" s="22"/>
      <c r="C15" s="23"/>
      <c r="D15" s="24"/>
      <c r="E15" s="25"/>
      <c r="F15" s="26" t="s">
        <v>24</v>
      </c>
      <c r="G15" s="36">
        <f>SUM(G8:G14)</f>
        <v>5523.16</v>
      </c>
    </row>
    <row r="16" spans="1:11" x14ac:dyDescent="0.2">
      <c r="B16" s="35"/>
    </row>
    <row r="17" spans="1:12" x14ac:dyDescent="0.2">
      <c r="B17" s="35"/>
    </row>
    <row r="19" spans="1:12" ht="12.75" customHeight="1" x14ac:dyDescent="0.2">
      <c r="F19" s="207" t="s">
        <v>0</v>
      </c>
      <c r="G19" s="207"/>
    </row>
    <row r="20" spans="1:12" ht="18.75" x14ac:dyDescent="0.3">
      <c r="A20" s="31" t="s">
        <v>1</v>
      </c>
      <c r="B20" s="29"/>
      <c r="C20" s="37"/>
      <c r="D20" s="30"/>
      <c r="E20" s="5"/>
      <c r="F20" s="29"/>
      <c r="G20" s="29"/>
    </row>
    <row r="21" spans="1:12" ht="15" x14ac:dyDescent="0.3">
      <c r="A21" s="29"/>
      <c r="B21" s="30"/>
      <c r="C21" s="37"/>
      <c r="D21" s="30"/>
      <c r="E21" s="5"/>
      <c r="F21" s="5"/>
      <c r="G21" s="32"/>
    </row>
    <row r="22" spans="1:12" ht="18" x14ac:dyDescent="0.25">
      <c r="A22" s="208" t="s">
        <v>2616</v>
      </c>
      <c r="B22" s="208"/>
      <c r="C22" s="208"/>
      <c r="D22" s="208"/>
      <c r="E22" s="208"/>
      <c r="F22" s="208"/>
      <c r="G22" s="208"/>
      <c r="J22" s="35"/>
      <c r="K22" s="35"/>
    </row>
    <row r="23" spans="1:12" ht="15" x14ac:dyDescent="0.3">
      <c r="A23" s="29"/>
      <c r="B23" s="9"/>
      <c r="C23" s="9"/>
      <c r="D23" s="9"/>
      <c r="E23" s="9"/>
      <c r="F23" s="10"/>
      <c r="G23" s="11"/>
      <c r="J23" s="35"/>
      <c r="K23" s="35"/>
      <c r="L23" s="35"/>
    </row>
    <row r="24" spans="1:12" x14ac:dyDescent="0.2">
      <c r="A24" s="12" t="s">
        <v>2</v>
      </c>
      <c r="B24" s="12" t="s">
        <v>3</v>
      </c>
      <c r="C24" s="13" t="s">
        <v>4</v>
      </c>
      <c r="D24" s="14" t="s">
        <v>25</v>
      </c>
      <c r="E24" s="13" t="s">
        <v>6</v>
      </c>
      <c r="F24" s="13" t="s">
        <v>7</v>
      </c>
      <c r="G24" s="13" t="s">
        <v>32</v>
      </c>
    </row>
    <row r="25" spans="1:12" ht="45" x14ac:dyDescent="0.3">
      <c r="A25" s="15">
        <v>1</v>
      </c>
      <c r="B25" s="16">
        <v>41011</v>
      </c>
      <c r="C25" s="33" t="s">
        <v>1406</v>
      </c>
      <c r="D25" s="18" t="s">
        <v>2617</v>
      </c>
      <c r="E25" s="19" t="s">
        <v>260</v>
      </c>
      <c r="F25" s="19" t="s">
        <v>2618</v>
      </c>
      <c r="G25" s="21">
        <v>1233.7</v>
      </c>
      <c r="H25" t="s">
        <v>27</v>
      </c>
    </row>
    <row r="26" spans="1:12" ht="60" x14ac:dyDescent="0.3">
      <c r="A26" s="15">
        <v>2</v>
      </c>
      <c r="B26" s="16">
        <v>41012</v>
      </c>
      <c r="C26" s="33" t="s">
        <v>2619</v>
      </c>
      <c r="D26" s="18" t="s">
        <v>2620</v>
      </c>
      <c r="E26" s="19" t="s">
        <v>2621</v>
      </c>
      <c r="F26" s="19" t="s">
        <v>2622</v>
      </c>
      <c r="G26" s="21">
        <v>390.45</v>
      </c>
      <c r="H26" s="45" t="s">
        <v>27</v>
      </c>
    </row>
    <row r="27" spans="1:12" ht="75" x14ac:dyDescent="0.3">
      <c r="A27" s="15">
        <v>3</v>
      </c>
      <c r="B27" s="16">
        <v>40990</v>
      </c>
      <c r="C27" s="33" t="s">
        <v>2623</v>
      </c>
      <c r="D27" s="18" t="s">
        <v>2624</v>
      </c>
      <c r="E27" s="19" t="s">
        <v>2625</v>
      </c>
      <c r="F27" s="19" t="s">
        <v>2626</v>
      </c>
      <c r="G27" s="21">
        <f>1105.19-(1105.19*0.12)</f>
        <v>972.56720000000007</v>
      </c>
      <c r="H27" s="45" t="s">
        <v>27</v>
      </c>
      <c r="I27" t="s">
        <v>2627</v>
      </c>
    </row>
    <row r="28" spans="1:12" ht="39" x14ac:dyDescent="0.3">
      <c r="A28" s="15">
        <v>4</v>
      </c>
      <c r="B28" s="16">
        <v>41021</v>
      </c>
      <c r="C28" s="33" t="s">
        <v>2628</v>
      </c>
      <c r="D28" s="18" t="s">
        <v>2629</v>
      </c>
      <c r="E28" s="19" t="s">
        <v>2630</v>
      </c>
      <c r="F28" s="19" t="s">
        <v>2631</v>
      </c>
      <c r="G28" s="21">
        <f>56+45.01</f>
        <v>101.00999999999999</v>
      </c>
      <c r="H28" s="59" t="s">
        <v>27</v>
      </c>
    </row>
    <row r="29" spans="1:12" ht="39" x14ac:dyDescent="0.3">
      <c r="A29" s="15">
        <v>5</v>
      </c>
      <c r="B29" s="16">
        <v>40984</v>
      </c>
      <c r="C29" s="33" t="s">
        <v>2632</v>
      </c>
      <c r="D29" s="18" t="s">
        <v>2633</v>
      </c>
      <c r="E29" s="19" t="s">
        <v>1398</v>
      </c>
      <c r="F29" s="19" t="s">
        <v>96</v>
      </c>
      <c r="G29" s="21">
        <f>(873.2-(873.2*0.04))*2</f>
        <v>1676.5440000000001</v>
      </c>
      <c r="H29" s="59" t="s">
        <v>27</v>
      </c>
    </row>
    <row r="30" spans="1:12" ht="45" x14ac:dyDescent="0.3">
      <c r="A30" s="15">
        <v>6</v>
      </c>
      <c r="B30" s="16">
        <v>40956</v>
      </c>
      <c r="C30" s="33" t="s">
        <v>2634</v>
      </c>
      <c r="D30" s="18" t="s">
        <v>2635</v>
      </c>
      <c r="E30" s="19" t="s">
        <v>2636</v>
      </c>
      <c r="F30" s="19" t="s">
        <v>2637</v>
      </c>
      <c r="G30" s="21">
        <f>1298-(1298*0.12)</f>
        <v>1142.24</v>
      </c>
      <c r="H30" s="59" t="s">
        <v>27</v>
      </c>
    </row>
    <row r="31" spans="1:12" ht="60" x14ac:dyDescent="0.3">
      <c r="A31" s="15"/>
      <c r="B31" s="16">
        <v>41015</v>
      </c>
      <c r="C31" s="33" t="s">
        <v>1406</v>
      </c>
      <c r="D31" s="18" t="s">
        <v>2638</v>
      </c>
      <c r="E31" s="19" t="s">
        <v>582</v>
      </c>
      <c r="F31" s="19" t="s">
        <v>2639</v>
      </c>
      <c r="G31" s="21">
        <f>51385+1069</f>
        <v>52454</v>
      </c>
      <c r="H31" s="59" t="s">
        <v>27</v>
      </c>
    </row>
    <row r="32" spans="1:12" ht="15" x14ac:dyDescent="0.3">
      <c r="A32" s="29"/>
      <c r="B32" s="30"/>
      <c r="C32" s="37"/>
      <c r="D32" s="30"/>
      <c r="E32" s="5"/>
      <c r="F32" s="46" t="s">
        <v>24</v>
      </c>
      <c r="G32" s="36">
        <f>SUM(G25:G31)</f>
        <v>57970.511200000001</v>
      </c>
      <c r="H32" s="104"/>
    </row>
    <row r="35" spans="1:9" ht="12.75" customHeight="1" x14ac:dyDescent="0.2">
      <c r="F35" s="207" t="s">
        <v>0</v>
      </c>
      <c r="G35" s="207"/>
    </row>
    <row r="36" spans="1:9" ht="18.75" x14ac:dyDescent="0.3">
      <c r="A36" s="31" t="s">
        <v>1</v>
      </c>
      <c r="B36" s="29"/>
      <c r="C36" s="37"/>
      <c r="D36" s="30"/>
      <c r="E36" s="5"/>
      <c r="F36" s="29"/>
      <c r="G36" s="29"/>
    </row>
    <row r="37" spans="1:9" ht="15" x14ac:dyDescent="0.3">
      <c r="A37" s="29"/>
      <c r="B37" s="30"/>
      <c r="C37" s="37"/>
      <c r="D37" s="30"/>
      <c r="E37" s="5"/>
      <c r="F37" s="5"/>
      <c r="G37" s="32"/>
    </row>
    <row r="38" spans="1:9" ht="18" x14ac:dyDescent="0.25">
      <c r="A38" s="208" t="s">
        <v>2640</v>
      </c>
      <c r="B38" s="208"/>
      <c r="C38" s="208"/>
      <c r="D38" s="208"/>
      <c r="E38" s="208"/>
      <c r="F38" s="208"/>
      <c r="G38" s="208"/>
    </row>
    <row r="39" spans="1:9" ht="18" x14ac:dyDescent="0.25">
      <c r="A39" s="208" t="s">
        <v>157</v>
      </c>
      <c r="B39" s="208"/>
      <c r="C39" s="208"/>
      <c r="D39" s="208"/>
      <c r="E39" s="208"/>
      <c r="F39" s="208"/>
      <c r="G39" s="208"/>
    </row>
    <row r="40" spans="1:9" ht="15" x14ac:dyDescent="0.3">
      <c r="A40" s="29"/>
      <c r="B40" s="9"/>
      <c r="C40" s="9"/>
      <c r="D40" s="9"/>
      <c r="E40" s="9"/>
      <c r="F40" s="10"/>
      <c r="G40" s="11"/>
    </row>
    <row r="41" spans="1:9" x14ac:dyDescent="0.2">
      <c r="A41" s="12" t="s">
        <v>2</v>
      </c>
      <c r="B41" s="12" t="s">
        <v>3</v>
      </c>
      <c r="C41" s="13" t="s">
        <v>4</v>
      </c>
      <c r="D41" s="14" t="s">
        <v>25</v>
      </c>
      <c r="E41" s="13" t="s">
        <v>6</v>
      </c>
      <c r="F41" s="13" t="s">
        <v>7</v>
      </c>
      <c r="G41" s="13" t="s">
        <v>32</v>
      </c>
      <c r="H41" s="13" t="s">
        <v>8</v>
      </c>
    </row>
    <row r="42" spans="1:9" ht="15" x14ac:dyDescent="0.3">
      <c r="A42" s="15">
        <v>1</v>
      </c>
      <c r="B42" s="16"/>
      <c r="C42" s="33"/>
      <c r="D42" s="18"/>
      <c r="E42" s="19"/>
      <c r="F42" s="19"/>
      <c r="G42" s="21"/>
      <c r="H42" s="21"/>
    </row>
    <row r="43" spans="1:9" ht="15" x14ac:dyDescent="0.3">
      <c r="A43" s="15">
        <v>2</v>
      </c>
      <c r="B43" s="16"/>
      <c r="C43" s="33"/>
      <c r="D43" s="18"/>
      <c r="E43" s="19"/>
      <c r="F43" s="19"/>
      <c r="G43" s="21"/>
      <c r="H43" s="21"/>
    </row>
    <row r="44" spans="1:9" ht="15" x14ac:dyDescent="0.3">
      <c r="A44" s="15">
        <v>3</v>
      </c>
      <c r="B44" s="16"/>
      <c r="C44" s="33"/>
      <c r="D44" s="18"/>
      <c r="E44" s="19"/>
      <c r="F44" s="19"/>
      <c r="G44" s="21"/>
      <c r="H44" s="21"/>
    </row>
    <row r="45" spans="1:9" ht="15" x14ac:dyDescent="0.3">
      <c r="A45" s="29"/>
      <c r="B45" s="30"/>
      <c r="C45" s="37"/>
      <c r="D45" s="30"/>
      <c r="E45" s="5"/>
      <c r="F45" s="46" t="s">
        <v>24</v>
      </c>
      <c r="G45" s="36">
        <f>SUM(G42:G44)</f>
        <v>0</v>
      </c>
      <c r="H45" s="27">
        <f>SUM(H42:H44)</f>
        <v>0</v>
      </c>
    </row>
    <row r="46" spans="1:9" x14ac:dyDescent="0.2">
      <c r="B46" s="35"/>
    </row>
    <row r="47" spans="1:9" x14ac:dyDescent="0.2">
      <c r="B47" s="35"/>
    </row>
    <row r="48" spans="1:9" x14ac:dyDescent="0.2">
      <c r="A48" s="216" t="s">
        <v>1807</v>
      </c>
      <c r="B48" s="216"/>
      <c r="C48" s="216"/>
      <c r="D48" s="216"/>
      <c r="E48" s="216"/>
      <c r="F48" s="216"/>
      <c r="G48" s="216"/>
      <c r="I48" s="35"/>
    </row>
    <row r="49" spans="1:9" x14ac:dyDescent="0.2">
      <c r="A49" s="216"/>
      <c r="B49" s="216"/>
      <c r="C49" s="216"/>
      <c r="D49" s="216"/>
      <c r="E49" s="216"/>
      <c r="F49" s="216"/>
      <c r="G49" s="216"/>
      <c r="I49" s="35"/>
    </row>
    <row r="50" spans="1:9" x14ac:dyDescent="0.2">
      <c r="A50" s="216"/>
      <c r="B50" s="216"/>
      <c r="C50" s="216"/>
      <c r="D50" s="216"/>
      <c r="E50" s="216"/>
      <c r="F50" s="216"/>
      <c r="G50" s="216"/>
    </row>
    <row r="52" spans="1:9" ht="15" customHeight="1" x14ac:dyDescent="0.3">
      <c r="A52" s="1"/>
      <c r="B52" s="2"/>
      <c r="C52" s="3"/>
      <c r="D52" s="4"/>
      <c r="E52" s="5"/>
      <c r="F52" s="207" t="s">
        <v>0</v>
      </c>
      <c r="G52" s="207"/>
    </row>
    <row r="53" spans="1:9" ht="18.75" x14ac:dyDescent="0.3">
      <c r="A53" s="7" t="s">
        <v>1</v>
      </c>
      <c r="B53" s="7"/>
      <c r="C53" s="3"/>
      <c r="D53" s="4"/>
      <c r="E53" s="5"/>
      <c r="F53" s="5"/>
      <c r="G53" s="8"/>
    </row>
    <row r="54" spans="1:9" ht="15" x14ac:dyDescent="0.3">
      <c r="A54" s="1"/>
      <c r="B54" s="2"/>
      <c r="C54" s="3"/>
      <c r="D54" s="4"/>
      <c r="E54" s="5"/>
      <c r="F54" s="5"/>
      <c r="G54" s="8"/>
    </row>
    <row r="55" spans="1:9" ht="15" x14ac:dyDescent="0.3">
      <c r="A55" s="1"/>
      <c r="B55" s="2"/>
      <c r="C55" s="3"/>
      <c r="D55" s="4"/>
      <c r="E55" s="5"/>
      <c r="F55" s="5"/>
      <c r="G55" s="8"/>
    </row>
    <row r="56" spans="1:9" ht="18" x14ac:dyDescent="0.25">
      <c r="A56" s="208" t="s">
        <v>2603</v>
      </c>
      <c r="B56" s="208"/>
      <c r="C56" s="208"/>
      <c r="D56" s="208"/>
      <c r="E56" s="208"/>
      <c r="F56" s="208"/>
      <c r="G56" s="208"/>
    </row>
    <row r="57" spans="1:9" ht="15" x14ac:dyDescent="0.3">
      <c r="A57" s="1"/>
      <c r="B57" s="9"/>
      <c r="C57" s="9"/>
      <c r="D57" s="9"/>
      <c r="E57" s="9"/>
      <c r="F57" s="10"/>
      <c r="G57" s="11"/>
    </row>
    <row r="58" spans="1:9" x14ac:dyDescent="0.2">
      <c r="A58" s="12" t="s">
        <v>2</v>
      </c>
      <c r="B58" s="12" t="s">
        <v>3</v>
      </c>
      <c r="C58" s="13" t="s">
        <v>4</v>
      </c>
      <c r="D58" s="14" t="s">
        <v>5</v>
      </c>
      <c r="E58" s="13" t="s">
        <v>6</v>
      </c>
      <c r="F58" s="13" t="s">
        <v>7</v>
      </c>
      <c r="G58" s="13" t="s">
        <v>32</v>
      </c>
    </row>
    <row r="59" spans="1:9" ht="15" x14ac:dyDescent="0.3">
      <c r="A59" s="15">
        <v>1</v>
      </c>
      <c r="B59" s="16"/>
      <c r="C59" s="33"/>
      <c r="D59" s="18"/>
      <c r="E59" s="19"/>
      <c r="F59" s="19"/>
      <c r="G59" s="21"/>
    </row>
    <row r="60" spans="1:9" ht="15" x14ac:dyDescent="0.2">
      <c r="A60" s="22"/>
      <c r="B60" s="22"/>
      <c r="C60" s="23"/>
      <c r="D60" s="24"/>
      <c r="E60" s="25"/>
      <c r="F60" s="26" t="s">
        <v>24</v>
      </c>
      <c r="G60" s="36">
        <f>SUM(G59:G59)</f>
        <v>0</v>
      </c>
    </row>
    <row r="65" spans="1:12" ht="12.75" customHeight="1" x14ac:dyDescent="0.2">
      <c r="F65" s="207" t="s">
        <v>0</v>
      </c>
      <c r="G65" s="207"/>
    </row>
    <row r="66" spans="1:12" ht="18.75" x14ac:dyDescent="0.3">
      <c r="A66" s="31" t="s">
        <v>1</v>
      </c>
      <c r="B66" s="29"/>
      <c r="C66" s="37"/>
      <c r="D66" s="30"/>
      <c r="E66" s="5"/>
      <c r="F66" s="29"/>
      <c r="G66" s="29"/>
    </row>
    <row r="67" spans="1:12" ht="15" x14ac:dyDescent="0.3">
      <c r="A67" s="29"/>
      <c r="B67" s="30"/>
      <c r="C67" s="37"/>
      <c r="D67" s="30"/>
      <c r="E67" s="5"/>
      <c r="F67" s="5"/>
      <c r="G67" s="32"/>
    </row>
    <row r="68" spans="1:12" ht="18" x14ac:dyDescent="0.25">
      <c r="A68" s="208" t="s">
        <v>2616</v>
      </c>
      <c r="B68" s="208"/>
      <c r="C68" s="208"/>
      <c r="D68" s="208"/>
      <c r="E68" s="208"/>
      <c r="F68" s="208"/>
      <c r="G68" s="208"/>
      <c r="J68" s="35"/>
      <c r="K68" s="35"/>
    </row>
    <row r="69" spans="1:12" ht="15" x14ac:dyDescent="0.3">
      <c r="A69" s="29"/>
      <c r="B69" s="9"/>
      <c r="C69" s="9"/>
      <c r="D69" s="9"/>
      <c r="E69" s="9"/>
      <c r="F69" s="10"/>
      <c r="G69" s="11"/>
      <c r="J69" s="35"/>
      <c r="K69" s="35"/>
      <c r="L69" s="35"/>
    </row>
    <row r="70" spans="1:12" x14ac:dyDescent="0.2">
      <c r="A70" s="12" t="s">
        <v>2</v>
      </c>
      <c r="B70" s="12" t="s">
        <v>3</v>
      </c>
      <c r="C70" s="13" t="s">
        <v>4</v>
      </c>
      <c r="D70" s="14" t="s">
        <v>25</v>
      </c>
      <c r="E70" s="13" t="s">
        <v>6</v>
      </c>
      <c r="F70" s="13" t="s">
        <v>7</v>
      </c>
      <c r="G70" s="13" t="s">
        <v>32</v>
      </c>
    </row>
    <row r="71" spans="1:12" ht="90" x14ac:dyDescent="0.3">
      <c r="A71" s="15">
        <v>1</v>
      </c>
      <c r="B71" s="16">
        <v>40994</v>
      </c>
      <c r="C71" s="33" t="s">
        <v>2641</v>
      </c>
      <c r="D71" s="18" t="s">
        <v>2642</v>
      </c>
      <c r="E71" s="19" t="s">
        <v>2643</v>
      </c>
      <c r="F71" s="19" t="s">
        <v>2644</v>
      </c>
      <c r="G71" s="21">
        <f>118000-(118000*0.12)</f>
        <v>103840</v>
      </c>
      <c r="H71" s="59" t="s">
        <v>27</v>
      </c>
    </row>
    <row r="72" spans="1:12" ht="15" x14ac:dyDescent="0.3">
      <c r="A72" s="29"/>
      <c r="B72" s="30"/>
      <c r="C72" s="37"/>
      <c r="D72" s="30"/>
      <c r="E72" s="5"/>
      <c r="F72" s="46" t="s">
        <v>24</v>
      </c>
      <c r="G72" s="36">
        <f>SUM(G71:G71)</f>
        <v>103840</v>
      </c>
      <c r="H72" s="104"/>
    </row>
  </sheetData>
  <sheetProtection selectLockedCells="1" selectUnlockedCells="1"/>
  <mergeCells count="12">
    <mergeCell ref="F65:G65"/>
    <mergeCell ref="A68:G68"/>
    <mergeCell ref="A38:G38"/>
    <mergeCell ref="A39:G39"/>
    <mergeCell ref="A48:G50"/>
    <mergeCell ref="F52:G52"/>
    <mergeCell ref="A56:G56"/>
    <mergeCell ref="F1:G1"/>
    <mergeCell ref="A5:G5"/>
    <mergeCell ref="F19:G19"/>
    <mergeCell ref="A22:G22"/>
    <mergeCell ref="F35:G35"/>
  </mergeCells>
  <printOptions horizontalCentered="1"/>
  <pageMargins left="0" right="0" top="0.74791666666666667" bottom="0.74791666666666667" header="0.51180555555555551" footer="0.51180555555555551"/>
  <pageSetup paperSize="9" scale="90" firstPageNumber="0" orientation="portrait" horizontalDpi="300" verticalDpi="300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3"/>
  <dimension ref="A1:P73"/>
  <sheetViews>
    <sheetView workbookViewId="0">
      <selection activeCell="H39" sqref="H39"/>
    </sheetView>
  </sheetViews>
  <sheetFormatPr baseColWidth="10" defaultColWidth="10.7109375" defaultRowHeight="12.75" x14ac:dyDescent="0.2"/>
  <cols>
    <col min="1" max="1" width="4.85546875" customWidth="1"/>
    <col min="2" max="2" width="12.5703125" customWidth="1"/>
    <col min="4" max="4" width="13" customWidth="1"/>
    <col min="5" max="5" width="23" customWidth="1"/>
    <col min="6" max="6" width="24.5703125" customWidth="1"/>
    <col min="7" max="7" width="14.42578125" customWidth="1"/>
  </cols>
  <sheetData>
    <row r="1" spans="1:16" ht="15" customHeight="1" x14ac:dyDescent="0.3">
      <c r="A1" s="1"/>
      <c r="B1" s="2"/>
      <c r="C1" s="3"/>
      <c r="D1" s="4"/>
      <c r="E1" s="5"/>
      <c r="F1" s="207" t="s">
        <v>0</v>
      </c>
      <c r="G1" s="207"/>
    </row>
    <row r="2" spans="1:16" ht="18.75" x14ac:dyDescent="0.3">
      <c r="A2" s="7" t="s">
        <v>1</v>
      </c>
      <c r="B2" s="7"/>
      <c r="C2" s="3"/>
      <c r="D2" s="4"/>
      <c r="E2" s="5"/>
      <c r="F2" s="5"/>
      <c r="G2" s="8"/>
    </row>
    <row r="3" spans="1:16" ht="15" x14ac:dyDescent="0.3">
      <c r="A3" s="1"/>
      <c r="B3" s="2"/>
      <c r="C3" s="3"/>
      <c r="D3" s="4"/>
      <c r="E3" s="5"/>
      <c r="F3" s="5"/>
      <c r="G3" s="8"/>
    </row>
    <row r="4" spans="1:16" ht="15" x14ac:dyDescent="0.3">
      <c r="A4" s="1"/>
      <c r="B4" s="2"/>
      <c r="C4" s="3"/>
      <c r="D4" s="4"/>
      <c r="E4" s="5"/>
      <c r="F4" s="5"/>
      <c r="G4" s="8"/>
    </row>
    <row r="5" spans="1:16" ht="18" x14ac:dyDescent="0.25">
      <c r="A5" s="208" t="s">
        <v>2645</v>
      </c>
      <c r="B5" s="208"/>
      <c r="C5" s="208"/>
      <c r="D5" s="208"/>
      <c r="E5" s="208"/>
      <c r="F5" s="208"/>
      <c r="G5" s="208"/>
    </row>
    <row r="6" spans="1:16" ht="15" x14ac:dyDescent="0.3">
      <c r="A6" s="1"/>
      <c r="B6" s="9"/>
      <c r="C6" s="9"/>
      <c r="D6" s="9"/>
      <c r="E6" s="9"/>
      <c r="F6" s="10"/>
      <c r="G6" s="11"/>
    </row>
    <row r="7" spans="1:16" x14ac:dyDescent="0.2">
      <c r="A7" s="12" t="s">
        <v>2</v>
      </c>
      <c r="B7" s="12" t="s">
        <v>3</v>
      </c>
      <c r="C7" s="13" t="s">
        <v>4</v>
      </c>
      <c r="D7" s="14" t="s">
        <v>5</v>
      </c>
      <c r="E7" s="13" t="s">
        <v>6</v>
      </c>
      <c r="F7" s="13" t="s">
        <v>7</v>
      </c>
      <c r="G7" s="13" t="s">
        <v>8</v>
      </c>
    </row>
    <row r="8" spans="1:16" ht="30" x14ac:dyDescent="0.3">
      <c r="A8" s="15">
        <v>1</v>
      </c>
      <c r="B8" s="16">
        <v>40878</v>
      </c>
      <c r="C8" s="33" t="s">
        <v>2646</v>
      </c>
      <c r="D8" s="18">
        <f>+B8+30</f>
        <v>40908</v>
      </c>
      <c r="E8" s="19" t="s">
        <v>1498</v>
      </c>
      <c r="F8" s="19" t="s">
        <v>2122</v>
      </c>
      <c r="G8" s="21">
        <v>40.65</v>
      </c>
      <c r="I8" s="107" t="s">
        <v>2647</v>
      </c>
      <c r="P8" s="107"/>
    </row>
    <row r="9" spans="1:16" ht="30" x14ac:dyDescent="0.3">
      <c r="A9" s="15">
        <v>2</v>
      </c>
      <c r="B9" s="16">
        <v>40880</v>
      </c>
      <c r="C9" s="33" t="s">
        <v>2648</v>
      </c>
      <c r="D9" s="18">
        <f>+B9+30</f>
        <v>40910</v>
      </c>
      <c r="E9" s="19" t="s">
        <v>1498</v>
      </c>
      <c r="F9" s="19" t="s">
        <v>2122</v>
      </c>
      <c r="G9" s="21">
        <v>40.65</v>
      </c>
      <c r="I9" s="107" t="s">
        <v>2647</v>
      </c>
      <c r="P9" s="107"/>
    </row>
    <row r="10" spans="1:16" ht="45" x14ac:dyDescent="0.3">
      <c r="A10" s="15">
        <v>3</v>
      </c>
      <c r="B10" s="16">
        <v>40940</v>
      </c>
      <c r="C10" s="33" t="s">
        <v>2649</v>
      </c>
      <c r="D10" s="18">
        <f>+B10</f>
        <v>40940</v>
      </c>
      <c r="E10" s="19" t="s">
        <v>14</v>
      </c>
      <c r="F10" s="19" t="s">
        <v>2650</v>
      </c>
      <c r="G10" s="21">
        <f>1007.5-(1007.5*0.12)</f>
        <v>886.6</v>
      </c>
      <c r="I10" s="107"/>
      <c r="K10" s="45"/>
      <c r="P10" s="107"/>
    </row>
    <row r="11" spans="1:16" ht="45" x14ac:dyDescent="0.3">
      <c r="A11" s="15">
        <v>4</v>
      </c>
      <c r="B11" s="16">
        <v>40940</v>
      </c>
      <c r="C11" s="33" t="s">
        <v>2651</v>
      </c>
      <c r="D11" s="18">
        <f>+B11</f>
        <v>40940</v>
      </c>
      <c r="E11" s="19" t="s">
        <v>14</v>
      </c>
      <c r="F11" s="19" t="s">
        <v>2652</v>
      </c>
      <c r="G11" s="21">
        <f>425-(425*0.12)</f>
        <v>374</v>
      </c>
      <c r="I11" s="107"/>
      <c r="J11" s="45"/>
      <c r="L11" s="45"/>
      <c r="P11" s="107"/>
    </row>
    <row r="12" spans="1:16" ht="45" x14ac:dyDescent="0.3">
      <c r="A12" s="15">
        <v>5</v>
      </c>
      <c r="B12" s="16">
        <v>40969</v>
      </c>
      <c r="C12" s="33" t="s">
        <v>2653</v>
      </c>
      <c r="D12" s="18">
        <f>+B12</f>
        <v>40969</v>
      </c>
      <c r="E12" s="19" t="s">
        <v>14</v>
      </c>
      <c r="F12" s="19" t="s">
        <v>2654</v>
      </c>
      <c r="G12" s="21">
        <f>1007.5-(1007.5*0.12)</f>
        <v>886.6</v>
      </c>
      <c r="K12" s="45"/>
    </row>
    <row r="13" spans="1:16" ht="45" x14ac:dyDescent="0.3">
      <c r="A13" s="15">
        <v>6</v>
      </c>
      <c r="B13" s="16">
        <v>40969</v>
      </c>
      <c r="C13" s="33" t="s">
        <v>2655</v>
      </c>
      <c r="D13" s="18">
        <f>+B13</f>
        <v>40969</v>
      </c>
      <c r="E13" s="19" t="s">
        <v>14</v>
      </c>
      <c r="F13" s="19" t="s">
        <v>2656</v>
      </c>
      <c r="G13" s="21">
        <f>425-(425*0.12)</f>
        <v>374</v>
      </c>
    </row>
    <row r="14" spans="1:16" ht="15" x14ac:dyDescent="0.2">
      <c r="A14" s="22"/>
      <c r="B14" s="22"/>
      <c r="C14" s="23"/>
      <c r="D14" s="24"/>
      <c r="E14" s="25"/>
      <c r="F14" s="26" t="s">
        <v>24</v>
      </c>
      <c r="G14" s="27">
        <f>SUM(G8:G13)</f>
        <v>2602.5</v>
      </c>
    </row>
    <row r="20" spans="1:9" ht="15" customHeight="1" x14ac:dyDescent="0.3">
      <c r="A20" s="29"/>
      <c r="B20" s="30"/>
      <c r="C20" s="37"/>
      <c r="D20" s="30"/>
      <c r="E20" s="5"/>
      <c r="F20" s="207" t="s">
        <v>0</v>
      </c>
      <c r="G20" s="207"/>
    </row>
    <row r="21" spans="1:9" ht="18.75" x14ac:dyDescent="0.3">
      <c r="A21" s="31" t="s">
        <v>1</v>
      </c>
      <c r="B21" s="29"/>
      <c r="C21" s="37"/>
      <c r="D21" s="30"/>
      <c r="E21" s="5"/>
      <c r="F21" s="29"/>
      <c r="G21" s="29"/>
    </row>
    <row r="22" spans="1:9" ht="15" x14ac:dyDescent="0.3">
      <c r="A22" s="29"/>
      <c r="B22" s="30"/>
      <c r="C22" s="37"/>
      <c r="D22" s="30"/>
      <c r="E22" s="5"/>
      <c r="F22" s="5"/>
      <c r="G22" s="32"/>
    </row>
    <row r="23" spans="1:9" ht="18" x14ac:dyDescent="0.25">
      <c r="A23" s="208" t="s">
        <v>2657</v>
      </c>
      <c r="B23" s="208"/>
      <c r="C23" s="208"/>
      <c r="D23" s="208"/>
      <c r="E23" s="208"/>
      <c r="F23" s="208"/>
      <c r="G23" s="208"/>
    </row>
    <row r="24" spans="1:9" ht="15" x14ac:dyDescent="0.3">
      <c r="A24" s="29"/>
      <c r="B24" s="9"/>
      <c r="C24" s="9"/>
      <c r="D24" s="9"/>
      <c r="E24" s="9"/>
      <c r="F24" s="10"/>
      <c r="G24" s="11"/>
    </row>
    <row r="25" spans="1:9" x14ac:dyDescent="0.2">
      <c r="A25" s="12" t="s">
        <v>2</v>
      </c>
      <c r="B25" s="12" t="s">
        <v>3</v>
      </c>
      <c r="C25" s="13" t="s">
        <v>4</v>
      </c>
      <c r="D25" s="14" t="s">
        <v>25</v>
      </c>
      <c r="E25" s="13" t="s">
        <v>6</v>
      </c>
      <c r="F25" s="13" t="s">
        <v>7</v>
      </c>
      <c r="G25" s="13" t="s">
        <v>8</v>
      </c>
    </row>
    <row r="26" spans="1:9" ht="90" x14ac:dyDescent="0.3">
      <c r="A26" s="15">
        <v>1</v>
      </c>
      <c r="B26" s="16">
        <v>40966</v>
      </c>
      <c r="C26" s="17" t="s">
        <v>2658</v>
      </c>
      <c r="D26" s="18" t="s">
        <v>2659</v>
      </c>
      <c r="E26" s="19" t="s">
        <v>653</v>
      </c>
      <c r="F26" s="19" t="s">
        <v>2660</v>
      </c>
      <c r="G26" s="21">
        <f>616.81+616.81</f>
        <v>1233.6199999999999</v>
      </c>
      <c r="H26" s="59" t="s">
        <v>27</v>
      </c>
    </row>
    <row r="27" spans="1:9" ht="60" x14ac:dyDescent="0.3">
      <c r="A27" s="15">
        <v>2</v>
      </c>
      <c r="B27" s="16">
        <v>40961</v>
      </c>
      <c r="C27" s="17" t="s">
        <v>2661</v>
      </c>
      <c r="D27" s="18" t="s">
        <v>2662</v>
      </c>
      <c r="E27" s="19" t="s">
        <v>2636</v>
      </c>
      <c r="F27" s="19" t="s">
        <v>2663</v>
      </c>
      <c r="G27" s="21">
        <f>6976.75-(6976.75*0.12)</f>
        <v>6139.54</v>
      </c>
      <c r="H27" s="59" t="s">
        <v>27</v>
      </c>
    </row>
    <row r="28" spans="1:9" ht="45" x14ac:dyDescent="0.3">
      <c r="A28" s="15">
        <v>3</v>
      </c>
      <c r="B28" s="16">
        <v>40970</v>
      </c>
      <c r="C28" s="17" t="s">
        <v>2664</v>
      </c>
      <c r="D28" s="18" t="s">
        <v>2665</v>
      </c>
      <c r="E28" s="19" t="s">
        <v>2666</v>
      </c>
      <c r="F28" s="19" t="s">
        <v>2667</v>
      </c>
      <c r="G28" s="21">
        <v>5884.25</v>
      </c>
      <c r="H28" s="59" t="s">
        <v>27</v>
      </c>
      <c r="I28" t="s">
        <v>2668</v>
      </c>
    </row>
    <row r="29" spans="1:9" ht="45" x14ac:dyDescent="0.3">
      <c r="A29" s="15">
        <v>4</v>
      </c>
      <c r="B29" s="16">
        <v>40974</v>
      </c>
      <c r="C29" s="17" t="s">
        <v>2669</v>
      </c>
      <c r="D29" s="18" t="s">
        <v>2670</v>
      </c>
      <c r="E29" s="19" t="s">
        <v>2666</v>
      </c>
      <c r="F29" s="19" t="s">
        <v>2671</v>
      </c>
      <c r="G29" s="21">
        <v>5672.35</v>
      </c>
      <c r="H29" s="59" t="s">
        <v>27</v>
      </c>
      <c r="I29" t="s">
        <v>2668</v>
      </c>
    </row>
    <row r="30" spans="1:9" ht="45" x14ac:dyDescent="0.3">
      <c r="A30" s="15">
        <v>5</v>
      </c>
      <c r="B30" s="16">
        <v>40980</v>
      </c>
      <c r="C30" s="17" t="s">
        <v>2672</v>
      </c>
      <c r="D30" s="18" t="s">
        <v>2673</v>
      </c>
      <c r="E30" s="19" t="s">
        <v>2666</v>
      </c>
      <c r="F30" s="19" t="s">
        <v>2674</v>
      </c>
      <c r="G30" s="21">
        <v>5811.21</v>
      </c>
      <c r="H30" s="59" t="s">
        <v>27</v>
      </c>
      <c r="I30" t="s">
        <v>2668</v>
      </c>
    </row>
    <row r="31" spans="1:9" ht="30" x14ac:dyDescent="0.3">
      <c r="A31" s="15">
        <v>6</v>
      </c>
      <c r="B31" s="16">
        <v>40982</v>
      </c>
      <c r="C31" s="17" t="s">
        <v>2675</v>
      </c>
      <c r="D31" s="18" t="s">
        <v>2676</v>
      </c>
      <c r="E31" s="19" t="s">
        <v>2666</v>
      </c>
      <c r="F31" s="19" t="s">
        <v>2677</v>
      </c>
      <c r="G31" s="21">
        <v>4871.3599999999997</v>
      </c>
      <c r="H31" s="59" t="s">
        <v>27</v>
      </c>
      <c r="I31" t="s">
        <v>2668</v>
      </c>
    </row>
    <row r="32" spans="1:9" ht="30" x14ac:dyDescent="0.3">
      <c r="A32" s="15">
        <v>7</v>
      </c>
      <c r="B32" s="16">
        <v>40987</v>
      </c>
      <c r="C32" s="17" t="s">
        <v>2678</v>
      </c>
      <c r="D32" s="18" t="s">
        <v>2679</v>
      </c>
      <c r="E32" s="19" t="s">
        <v>2666</v>
      </c>
      <c r="F32" s="19" t="s">
        <v>2680</v>
      </c>
      <c r="G32" s="21">
        <v>1696.21</v>
      </c>
      <c r="H32" s="59" t="s">
        <v>27</v>
      </c>
      <c r="I32" t="s">
        <v>2668</v>
      </c>
    </row>
    <row r="33" spans="1:8" ht="45" x14ac:dyDescent="0.3">
      <c r="A33" s="15">
        <v>8</v>
      </c>
      <c r="B33" s="16">
        <v>41023</v>
      </c>
      <c r="C33" s="17" t="s">
        <v>2681</v>
      </c>
      <c r="D33" s="18" t="s">
        <v>2682</v>
      </c>
      <c r="E33" s="19" t="s">
        <v>1428</v>
      </c>
      <c r="F33" s="19" t="s">
        <v>249</v>
      </c>
      <c r="G33" s="21">
        <v>53996.26</v>
      </c>
      <c r="H33" s="59" t="s">
        <v>27</v>
      </c>
    </row>
    <row r="34" spans="1:8" ht="30" x14ac:dyDescent="0.3">
      <c r="A34" s="15">
        <v>9</v>
      </c>
      <c r="B34" s="16">
        <v>41016</v>
      </c>
      <c r="C34" s="17" t="s">
        <v>29</v>
      </c>
      <c r="D34" s="18" t="s">
        <v>2683</v>
      </c>
      <c r="E34" s="19" t="s">
        <v>2684</v>
      </c>
      <c r="F34" s="19" t="s">
        <v>2685</v>
      </c>
      <c r="G34" s="21">
        <f>20000-20000</f>
        <v>0</v>
      </c>
      <c r="H34" s="59" t="s">
        <v>126</v>
      </c>
    </row>
    <row r="35" spans="1:8" ht="30" x14ac:dyDescent="0.3">
      <c r="A35" s="15">
        <v>10</v>
      </c>
      <c r="B35" s="16">
        <v>41018</v>
      </c>
      <c r="C35" s="17" t="s">
        <v>2686</v>
      </c>
      <c r="D35" s="18" t="s">
        <v>2687</v>
      </c>
      <c r="E35" s="19" t="s">
        <v>2688</v>
      </c>
      <c r="F35" s="19" t="s">
        <v>249</v>
      </c>
      <c r="G35" s="21">
        <v>5469.3</v>
      </c>
      <c r="H35" s="59" t="s">
        <v>27</v>
      </c>
    </row>
    <row r="36" spans="1:8" x14ac:dyDescent="0.2">
      <c r="B36" s="35"/>
      <c r="F36" s="26" t="s">
        <v>24</v>
      </c>
      <c r="G36" s="27">
        <f>SUM(G26:G35)</f>
        <v>90774.1</v>
      </c>
    </row>
    <row r="41" spans="1:8" ht="15" customHeight="1" x14ac:dyDescent="0.3">
      <c r="A41" s="29"/>
      <c r="B41" s="30"/>
      <c r="C41" s="37"/>
      <c r="D41" s="30"/>
      <c r="E41" s="5"/>
      <c r="F41" s="207" t="s">
        <v>0</v>
      </c>
      <c r="G41" s="207"/>
    </row>
    <row r="42" spans="1:8" ht="18.75" x14ac:dyDescent="0.3">
      <c r="A42" s="31" t="s">
        <v>1</v>
      </c>
      <c r="B42" s="29"/>
      <c r="C42" s="37"/>
      <c r="D42" s="30"/>
      <c r="E42" s="5"/>
      <c r="F42" s="29"/>
      <c r="G42" s="29"/>
    </row>
    <row r="43" spans="1:8" ht="15" x14ac:dyDescent="0.3">
      <c r="A43" s="29"/>
      <c r="B43" s="30"/>
      <c r="C43" s="37"/>
      <c r="D43" s="30"/>
      <c r="E43" s="5"/>
      <c r="F43" s="5"/>
      <c r="G43" s="32"/>
    </row>
    <row r="44" spans="1:8" ht="18" x14ac:dyDescent="0.25">
      <c r="A44" s="208" t="s">
        <v>2689</v>
      </c>
      <c r="B44" s="208"/>
      <c r="C44" s="208"/>
      <c r="D44" s="208"/>
      <c r="E44" s="208"/>
      <c r="F44" s="208"/>
      <c r="G44" s="208"/>
    </row>
    <row r="45" spans="1:8" ht="15" x14ac:dyDescent="0.3">
      <c r="A45" s="29"/>
      <c r="B45" s="9"/>
      <c r="C45" s="9"/>
      <c r="D45" s="9"/>
      <c r="E45" s="9"/>
      <c r="F45" s="10"/>
      <c r="G45" s="11"/>
    </row>
    <row r="46" spans="1:8" x14ac:dyDescent="0.2">
      <c r="A46" s="12" t="s">
        <v>2</v>
      </c>
      <c r="B46" s="12" t="s">
        <v>3</v>
      </c>
      <c r="C46" s="13" t="s">
        <v>4</v>
      </c>
      <c r="D46" s="14" t="s">
        <v>5</v>
      </c>
      <c r="E46" s="13" t="s">
        <v>6</v>
      </c>
      <c r="F46" s="13" t="s">
        <v>146</v>
      </c>
      <c r="G46" s="13" t="s">
        <v>8</v>
      </c>
    </row>
    <row r="47" spans="1:8" ht="15" x14ac:dyDescent="0.3">
      <c r="A47" s="15">
        <v>1</v>
      </c>
      <c r="B47" s="16"/>
      <c r="C47" s="33"/>
      <c r="D47" s="18"/>
      <c r="E47" s="19"/>
      <c r="F47" s="19"/>
      <c r="G47" s="21"/>
      <c r="H47" s="45"/>
    </row>
    <row r="48" spans="1:8" ht="15" x14ac:dyDescent="0.3">
      <c r="A48" s="15">
        <v>2</v>
      </c>
      <c r="B48" s="16"/>
      <c r="C48" s="33"/>
      <c r="D48" s="18"/>
      <c r="E48" s="19"/>
      <c r="F48" s="19"/>
      <c r="G48" s="21"/>
      <c r="H48" s="45"/>
    </row>
    <row r="49" spans="1:8" ht="15" x14ac:dyDescent="0.3">
      <c r="A49" s="15">
        <v>3</v>
      </c>
      <c r="B49" s="16"/>
      <c r="C49" s="33"/>
      <c r="D49" s="18"/>
      <c r="E49" s="19"/>
      <c r="F49" s="19"/>
      <c r="G49" s="21"/>
      <c r="H49" s="45"/>
    </row>
    <row r="50" spans="1:8" ht="15" x14ac:dyDescent="0.3">
      <c r="A50" s="15">
        <v>4</v>
      </c>
      <c r="B50" s="16"/>
      <c r="C50" s="33"/>
      <c r="D50" s="18"/>
      <c r="E50" s="19"/>
      <c r="F50" s="19"/>
      <c r="G50" s="21"/>
      <c r="H50" s="59"/>
    </row>
    <row r="51" spans="1:8" x14ac:dyDescent="0.2">
      <c r="F51" s="26" t="s">
        <v>24</v>
      </c>
      <c r="G51" s="27">
        <f>SUM(G47:G50)</f>
        <v>0</v>
      </c>
    </row>
    <row r="57" spans="1:8" x14ac:dyDescent="0.2">
      <c r="A57" s="216" t="s">
        <v>1807</v>
      </c>
      <c r="B57" s="216"/>
      <c r="C57" s="216"/>
      <c r="D57" s="216"/>
      <c r="E57" s="216"/>
      <c r="F57" s="216"/>
      <c r="G57" s="216"/>
    </row>
    <row r="58" spans="1:8" x14ac:dyDescent="0.2">
      <c r="A58" s="216"/>
      <c r="B58" s="216"/>
      <c r="C58" s="216"/>
      <c r="D58" s="216"/>
      <c r="E58" s="216"/>
      <c r="F58" s="216"/>
      <c r="G58" s="216"/>
    </row>
    <row r="59" spans="1:8" x14ac:dyDescent="0.2">
      <c r="A59" s="216"/>
      <c r="B59" s="216"/>
      <c r="C59" s="216"/>
      <c r="D59" s="216"/>
      <c r="E59" s="216"/>
      <c r="F59" s="216"/>
      <c r="G59" s="216"/>
    </row>
    <row r="62" spans="1:8" ht="15" customHeight="1" x14ac:dyDescent="0.3">
      <c r="A62" s="1"/>
      <c r="B62" s="2"/>
      <c r="C62" s="3"/>
      <c r="D62" s="4"/>
      <c r="E62" s="5"/>
      <c r="F62" s="207" t="s">
        <v>0</v>
      </c>
      <c r="G62" s="207"/>
    </row>
    <row r="63" spans="1:8" ht="18.75" x14ac:dyDescent="0.3">
      <c r="A63" s="7" t="s">
        <v>1</v>
      </c>
      <c r="B63" s="7"/>
      <c r="C63" s="3"/>
      <c r="D63" s="4"/>
      <c r="E63" s="5"/>
      <c r="F63" s="5"/>
      <c r="G63" s="8"/>
    </row>
    <row r="64" spans="1:8" ht="15" x14ac:dyDescent="0.3">
      <c r="A64" s="1"/>
      <c r="B64" s="2"/>
      <c r="C64" s="3"/>
      <c r="D64" s="4"/>
      <c r="E64" s="5"/>
      <c r="F64" s="5"/>
      <c r="G64" s="8"/>
    </row>
    <row r="65" spans="1:7" ht="15" x14ac:dyDescent="0.3">
      <c r="A65" s="1"/>
      <c r="B65" s="2"/>
      <c r="C65" s="3"/>
      <c r="D65" s="4"/>
      <c r="E65" s="5"/>
      <c r="F65" s="5"/>
      <c r="G65" s="8"/>
    </row>
    <row r="66" spans="1:7" ht="18" x14ac:dyDescent="0.25">
      <c r="A66" s="208" t="s">
        <v>2645</v>
      </c>
      <c r="B66" s="208"/>
      <c r="C66" s="208"/>
      <c r="D66" s="208"/>
      <c r="E66" s="208"/>
      <c r="F66" s="208"/>
      <c r="G66" s="208"/>
    </row>
    <row r="67" spans="1:7" ht="15" x14ac:dyDescent="0.3">
      <c r="A67" s="1"/>
      <c r="B67" s="9"/>
      <c r="C67" s="9"/>
      <c r="D67" s="9"/>
      <c r="E67" s="9"/>
      <c r="F67" s="10"/>
      <c r="G67" s="11"/>
    </row>
    <row r="68" spans="1:7" x14ac:dyDescent="0.2">
      <c r="A68" s="12" t="s">
        <v>2</v>
      </c>
      <c r="B68" s="12" t="s">
        <v>3</v>
      </c>
      <c r="C68" s="13" t="s">
        <v>4</v>
      </c>
      <c r="D68" s="14" t="s">
        <v>5</v>
      </c>
      <c r="E68" s="13" t="s">
        <v>6</v>
      </c>
      <c r="F68" s="13" t="s">
        <v>7</v>
      </c>
      <c r="G68" s="13" t="s">
        <v>8</v>
      </c>
    </row>
    <row r="69" spans="1:7" ht="15" x14ac:dyDescent="0.3">
      <c r="A69" s="15">
        <v>1</v>
      </c>
      <c r="B69" s="16"/>
      <c r="C69" s="33"/>
      <c r="D69" s="18"/>
      <c r="E69" s="19"/>
      <c r="F69" s="19"/>
      <c r="G69" s="21"/>
    </row>
    <row r="70" spans="1:7" ht="15" x14ac:dyDescent="0.3">
      <c r="A70" s="15">
        <v>2</v>
      </c>
      <c r="B70" s="16"/>
      <c r="C70" s="33"/>
      <c r="D70" s="18"/>
      <c r="E70" s="19"/>
      <c r="F70" s="19"/>
      <c r="G70" s="21"/>
    </row>
    <row r="71" spans="1:7" ht="15" x14ac:dyDescent="0.3">
      <c r="A71" s="15">
        <v>3</v>
      </c>
      <c r="B71" s="16"/>
      <c r="C71" s="33"/>
      <c r="D71" s="18"/>
      <c r="E71" s="19"/>
      <c r="F71" s="19"/>
      <c r="G71" s="21"/>
    </row>
    <row r="72" spans="1:7" ht="15" x14ac:dyDescent="0.3">
      <c r="A72" s="15">
        <v>4</v>
      </c>
      <c r="B72" s="16"/>
      <c r="C72" s="33"/>
      <c r="D72" s="18"/>
      <c r="E72" s="19"/>
      <c r="F72" s="19"/>
      <c r="G72" s="21"/>
    </row>
    <row r="73" spans="1:7" ht="15" x14ac:dyDescent="0.2">
      <c r="A73" s="22"/>
      <c r="B73" s="22"/>
      <c r="C73" s="23"/>
      <c r="D73" s="24"/>
      <c r="E73" s="25"/>
      <c r="F73" s="26" t="s">
        <v>24</v>
      </c>
      <c r="G73" s="27">
        <f>SUM(G69:G72)</f>
        <v>0</v>
      </c>
    </row>
  </sheetData>
  <sheetProtection selectLockedCells="1" selectUnlockedCells="1"/>
  <mergeCells count="9">
    <mergeCell ref="A57:G59"/>
    <mergeCell ref="F62:G62"/>
    <mergeCell ref="A66:G66"/>
    <mergeCell ref="F1:G1"/>
    <mergeCell ref="A5:G5"/>
    <mergeCell ref="F20:G20"/>
    <mergeCell ref="A23:G23"/>
    <mergeCell ref="F41:G41"/>
    <mergeCell ref="A44:G44"/>
  </mergeCells>
  <printOptions horizontalCentered="1"/>
  <pageMargins left="0" right="0" top="0.74791666666666667" bottom="0.74791666666666667" header="0.51180555555555551" footer="0.51180555555555551"/>
  <pageSetup paperSize="9" scale="90" firstPageNumber="0" orientation="portrait" horizontalDpi="300" verticalDpi="300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4"/>
  <dimension ref="A1:L81"/>
  <sheetViews>
    <sheetView topLeftCell="A31" workbookViewId="0">
      <selection activeCell="H39" sqref="H39"/>
    </sheetView>
  </sheetViews>
  <sheetFormatPr baseColWidth="10" defaultColWidth="10.7109375" defaultRowHeight="12.75" x14ac:dyDescent="0.2"/>
  <cols>
    <col min="1" max="1" width="3.28515625" customWidth="1"/>
    <col min="2" max="2" width="13.28515625" customWidth="1"/>
    <col min="4" max="4" width="13.5703125" customWidth="1"/>
    <col min="5" max="5" width="20.85546875" customWidth="1"/>
    <col min="6" max="6" width="27.7109375" customWidth="1"/>
    <col min="7" max="7" width="15.7109375" customWidth="1"/>
    <col min="8" max="8" width="12" customWidth="1"/>
  </cols>
  <sheetData>
    <row r="1" spans="1:11" ht="15" customHeight="1" x14ac:dyDescent="0.3">
      <c r="A1" s="1"/>
      <c r="B1" s="2"/>
      <c r="C1" s="3"/>
      <c r="D1" s="4"/>
      <c r="E1" s="5"/>
      <c r="F1" s="207" t="s">
        <v>0</v>
      </c>
      <c r="G1" s="207"/>
    </row>
    <row r="2" spans="1:11" ht="18.75" x14ac:dyDescent="0.3">
      <c r="A2" s="7" t="s">
        <v>1</v>
      </c>
      <c r="B2" s="7"/>
      <c r="C2" s="3"/>
      <c r="D2" s="4"/>
      <c r="E2" s="5"/>
      <c r="F2" s="5"/>
      <c r="G2" s="8"/>
    </row>
    <row r="3" spans="1:11" ht="15" x14ac:dyDescent="0.3">
      <c r="A3" s="1"/>
      <c r="B3" s="2"/>
      <c r="C3" s="3"/>
      <c r="D3" s="4"/>
      <c r="E3" s="5"/>
      <c r="F3" s="5"/>
      <c r="G3" s="8"/>
    </row>
    <row r="4" spans="1:11" ht="15" x14ac:dyDescent="0.3">
      <c r="A4" s="1"/>
      <c r="B4" s="2"/>
      <c r="C4" s="3"/>
      <c r="D4" s="4"/>
      <c r="E4" s="5"/>
      <c r="F4" s="5"/>
      <c r="G4" s="8"/>
    </row>
    <row r="5" spans="1:11" ht="18" x14ac:dyDescent="0.25">
      <c r="A5" s="208" t="s">
        <v>2690</v>
      </c>
      <c r="B5" s="208"/>
      <c r="C5" s="208"/>
      <c r="D5" s="208"/>
      <c r="E5" s="208"/>
      <c r="F5" s="208"/>
      <c r="G5" s="208"/>
    </row>
    <row r="6" spans="1:11" ht="15" x14ac:dyDescent="0.3">
      <c r="A6" s="1"/>
      <c r="B6" s="9"/>
      <c r="C6" s="9"/>
      <c r="D6" s="9"/>
      <c r="E6" s="9"/>
      <c r="F6" s="10"/>
      <c r="G6" s="11"/>
    </row>
    <row r="7" spans="1:11" x14ac:dyDescent="0.2">
      <c r="A7" s="12" t="s">
        <v>2</v>
      </c>
      <c r="B7" s="12" t="s">
        <v>3</v>
      </c>
      <c r="C7" s="13" t="s">
        <v>4</v>
      </c>
      <c r="D7" s="14" t="s">
        <v>5</v>
      </c>
      <c r="E7" s="13" t="s">
        <v>6</v>
      </c>
      <c r="F7" s="13" t="s">
        <v>7</v>
      </c>
      <c r="G7" s="13" t="s">
        <v>32</v>
      </c>
    </row>
    <row r="8" spans="1:11" ht="15" x14ac:dyDescent="0.3">
      <c r="A8" s="15">
        <v>1</v>
      </c>
      <c r="B8" s="16"/>
      <c r="C8" s="33"/>
      <c r="D8" s="18"/>
      <c r="E8" s="19"/>
      <c r="F8" s="19"/>
      <c r="G8" s="21"/>
    </row>
    <row r="9" spans="1:11" ht="15" x14ac:dyDescent="0.2">
      <c r="A9" s="22"/>
      <c r="B9" s="22"/>
      <c r="C9" s="23"/>
      <c r="D9" s="24"/>
      <c r="E9" s="25"/>
      <c r="F9" s="26" t="s">
        <v>24</v>
      </c>
      <c r="G9" s="36">
        <f>SUM(G8:G8)</f>
        <v>0</v>
      </c>
    </row>
    <row r="10" spans="1:11" x14ac:dyDescent="0.2">
      <c r="B10" s="35"/>
    </row>
    <row r="11" spans="1:11" x14ac:dyDescent="0.2">
      <c r="B11" s="35"/>
    </row>
    <row r="13" spans="1:11" ht="12.75" customHeight="1" x14ac:dyDescent="0.2">
      <c r="F13" s="207" t="s">
        <v>0</v>
      </c>
      <c r="G13" s="207"/>
    </row>
    <row r="14" spans="1:11" ht="18.75" x14ac:dyDescent="0.3">
      <c r="A14" s="31" t="s">
        <v>1</v>
      </c>
      <c r="B14" s="29"/>
      <c r="C14" s="37"/>
      <c r="D14" s="30"/>
      <c r="E14" s="5"/>
      <c r="F14" s="29"/>
      <c r="G14" s="29"/>
    </row>
    <row r="15" spans="1:11" ht="15" x14ac:dyDescent="0.3">
      <c r="A15" s="29"/>
      <c r="B15" s="30"/>
      <c r="C15" s="37"/>
      <c r="D15" s="30"/>
      <c r="E15" s="5"/>
      <c r="F15" s="5"/>
      <c r="G15" s="32"/>
    </row>
    <row r="16" spans="1:11" ht="18" x14ac:dyDescent="0.25">
      <c r="A16" s="208" t="s">
        <v>2691</v>
      </c>
      <c r="B16" s="208"/>
      <c r="C16" s="208"/>
      <c r="D16" s="208"/>
      <c r="E16" s="208"/>
      <c r="F16" s="208"/>
      <c r="G16" s="208"/>
      <c r="J16" s="35"/>
      <c r="K16" s="35"/>
    </row>
    <row r="17" spans="1:12" ht="15" x14ac:dyDescent="0.3">
      <c r="A17" s="29"/>
      <c r="B17" s="9"/>
      <c r="C17" s="9"/>
      <c r="D17" s="9"/>
      <c r="E17" s="9"/>
      <c r="F17" s="10"/>
      <c r="G17" s="11"/>
      <c r="J17" s="35"/>
      <c r="K17" s="35"/>
      <c r="L17" s="35"/>
    </row>
    <row r="18" spans="1:12" x14ac:dyDescent="0.2">
      <c r="A18" s="12" t="s">
        <v>2</v>
      </c>
      <c r="B18" s="12" t="s">
        <v>3</v>
      </c>
      <c r="C18" s="13" t="s">
        <v>4</v>
      </c>
      <c r="D18" s="14" t="s">
        <v>25</v>
      </c>
      <c r="E18" s="13" t="s">
        <v>6</v>
      </c>
      <c r="F18" s="13" t="s">
        <v>7</v>
      </c>
      <c r="G18" s="13" t="s">
        <v>32</v>
      </c>
    </row>
    <row r="19" spans="1:12" ht="77.25" x14ac:dyDescent="0.3">
      <c r="A19" s="15">
        <v>1</v>
      </c>
      <c r="B19" s="16">
        <v>41024</v>
      </c>
      <c r="C19" s="33" t="s">
        <v>2692</v>
      </c>
      <c r="D19" s="18" t="s">
        <v>2693</v>
      </c>
      <c r="E19" s="19" t="s">
        <v>208</v>
      </c>
      <c r="F19" s="19" t="s">
        <v>2694</v>
      </c>
      <c r="G19" s="21">
        <f>87.29+86.99+99.02+72.99+581.92</f>
        <v>928.21</v>
      </c>
      <c r="H19" t="s">
        <v>27</v>
      </c>
    </row>
    <row r="20" spans="1:12" ht="45" x14ac:dyDescent="0.3">
      <c r="A20" s="15">
        <v>2</v>
      </c>
      <c r="B20" s="16">
        <v>41024</v>
      </c>
      <c r="C20" s="33" t="s">
        <v>2695</v>
      </c>
      <c r="D20" s="18" t="s">
        <v>2696</v>
      </c>
      <c r="E20" s="19" t="s">
        <v>208</v>
      </c>
      <c r="F20" s="19" t="s">
        <v>2697</v>
      </c>
      <c r="G20" s="21">
        <v>263.60000000000002</v>
      </c>
      <c r="H20" s="45" t="s">
        <v>27</v>
      </c>
    </row>
    <row r="21" spans="1:12" ht="51.75" x14ac:dyDescent="0.3">
      <c r="A21" s="15">
        <v>3</v>
      </c>
      <c r="B21" s="16">
        <v>41029</v>
      </c>
      <c r="C21" s="33" t="s">
        <v>2698</v>
      </c>
      <c r="D21" s="18" t="s">
        <v>2699</v>
      </c>
      <c r="E21" s="19" t="s">
        <v>110</v>
      </c>
      <c r="F21" s="19" t="s">
        <v>2700</v>
      </c>
      <c r="G21" s="21">
        <v>1663.33</v>
      </c>
      <c r="H21" s="45" t="s">
        <v>27</v>
      </c>
    </row>
    <row r="22" spans="1:12" ht="30" x14ac:dyDescent="0.3">
      <c r="A22" s="15">
        <v>4</v>
      </c>
      <c r="B22" s="16">
        <v>41002</v>
      </c>
      <c r="C22" s="33" t="s">
        <v>2701</v>
      </c>
      <c r="D22" s="18" t="s">
        <v>2702</v>
      </c>
      <c r="E22" s="19" t="s">
        <v>1398</v>
      </c>
      <c r="F22" s="19" t="s">
        <v>2703</v>
      </c>
      <c r="G22" s="21">
        <f>873.2-(873.2*0.04)</f>
        <v>838.27200000000005</v>
      </c>
      <c r="H22" s="59" t="s">
        <v>27</v>
      </c>
    </row>
    <row r="23" spans="1:12" ht="45" x14ac:dyDescent="0.3">
      <c r="A23" s="15">
        <v>5</v>
      </c>
      <c r="B23" s="16">
        <v>40997</v>
      </c>
      <c r="C23" s="33" t="s">
        <v>2704</v>
      </c>
      <c r="D23" s="18" t="s">
        <v>2705</v>
      </c>
      <c r="E23" s="19" t="s">
        <v>2071</v>
      </c>
      <c r="F23" s="19" t="s">
        <v>2706</v>
      </c>
      <c r="G23" s="21">
        <v>2006</v>
      </c>
      <c r="H23" s="59" t="s">
        <v>27</v>
      </c>
    </row>
    <row r="24" spans="1:12" ht="45" x14ac:dyDescent="0.3">
      <c r="A24" s="15">
        <v>6</v>
      </c>
      <c r="B24" s="16">
        <v>41005</v>
      </c>
      <c r="C24" s="33" t="s">
        <v>2707</v>
      </c>
      <c r="D24" s="18" t="s">
        <v>2708</v>
      </c>
      <c r="E24" s="19" t="s">
        <v>1990</v>
      </c>
      <c r="F24" s="19" t="s">
        <v>2709</v>
      </c>
      <c r="G24" s="21">
        <v>140</v>
      </c>
      <c r="H24" s="59" t="s">
        <v>27</v>
      </c>
    </row>
    <row r="25" spans="1:12" ht="77.25" x14ac:dyDescent="0.3">
      <c r="A25" s="15">
        <v>7</v>
      </c>
      <c r="B25" s="16">
        <v>41022</v>
      </c>
      <c r="C25" s="33" t="s">
        <v>2710</v>
      </c>
      <c r="D25" s="18" t="s">
        <v>2711</v>
      </c>
      <c r="E25" s="19" t="s">
        <v>208</v>
      </c>
      <c r="F25" s="19" t="s">
        <v>2712</v>
      </c>
      <c r="G25" s="21">
        <f>583.4+198.75+120.65+244.05</f>
        <v>1146.8499999999999</v>
      </c>
      <c r="H25" s="59" t="s">
        <v>27</v>
      </c>
    </row>
    <row r="26" spans="1:12" ht="45" x14ac:dyDescent="0.3">
      <c r="A26" s="15">
        <v>8</v>
      </c>
      <c r="B26" s="16">
        <v>41017</v>
      </c>
      <c r="C26" s="33" t="s">
        <v>258</v>
      </c>
      <c r="D26" s="18" t="s">
        <v>2713</v>
      </c>
      <c r="E26" s="19" t="s">
        <v>1419</v>
      </c>
      <c r="F26" s="19" t="s">
        <v>2714</v>
      </c>
      <c r="G26" s="21">
        <f>475.49+851+699.5</f>
        <v>2025.99</v>
      </c>
      <c r="H26" s="59" t="s">
        <v>27</v>
      </c>
    </row>
    <row r="27" spans="1:12" ht="45" x14ac:dyDescent="0.3">
      <c r="A27" s="15">
        <v>9</v>
      </c>
      <c r="B27" s="16">
        <v>41029</v>
      </c>
      <c r="C27" s="33" t="s">
        <v>2715</v>
      </c>
      <c r="D27" s="18" t="s">
        <v>2716</v>
      </c>
      <c r="E27" s="19" t="s">
        <v>110</v>
      </c>
      <c r="F27" s="19" t="s">
        <v>2717</v>
      </c>
      <c r="G27" s="21">
        <f>568.58+867.16</f>
        <v>1435.74</v>
      </c>
      <c r="H27" s="59" t="s">
        <v>27</v>
      </c>
    </row>
    <row r="28" spans="1:12" ht="60" x14ac:dyDescent="0.3">
      <c r="A28" s="15">
        <v>10</v>
      </c>
      <c r="B28" s="16">
        <v>41024</v>
      </c>
      <c r="C28" s="33" t="s">
        <v>2718</v>
      </c>
      <c r="D28" s="18" t="s">
        <v>2719</v>
      </c>
      <c r="E28" s="19" t="s">
        <v>208</v>
      </c>
      <c r="F28" s="19" t="s">
        <v>2720</v>
      </c>
      <c r="G28" s="21">
        <v>2651.79</v>
      </c>
      <c r="H28" s="59" t="s">
        <v>27</v>
      </c>
    </row>
    <row r="29" spans="1:12" ht="45" x14ac:dyDescent="0.3">
      <c r="A29" s="15">
        <v>11</v>
      </c>
      <c r="B29" s="16">
        <v>41024</v>
      </c>
      <c r="C29" s="33" t="s">
        <v>2721</v>
      </c>
      <c r="D29" s="18" t="s">
        <v>2722</v>
      </c>
      <c r="E29" s="19" t="s">
        <v>208</v>
      </c>
      <c r="F29" s="19" t="s">
        <v>2694</v>
      </c>
      <c r="G29" s="21">
        <v>7034.98</v>
      </c>
      <c r="H29" s="59" t="s">
        <v>27</v>
      </c>
    </row>
    <row r="30" spans="1:12" ht="39" x14ac:dyDescent="0.3">
      <c r="A30" s="15">
        <v>12</v>
      </c>
      <c r="B30" s="16">
        <v>41016</v>
      </c>
      <c r="C30" s="33" t="s">
        <v>2723</v>
      </c>
      <c r="D30" s="18" t="s">
        <v>2724</v>
      </c>
      <c r="E30" s="19" t="s">
        <v>1990</v>
      </c>
      <c r="F30" s="19" t="s">
        <v>2725</v>
      </c>
      <c r="G30" s="21">
        <f>280+551</f>
        <v>831</v>
      </c>
      <c r="H30" s="59" t="s">
        <v>27</v>
      </c>
    </row>
    <row r="31" spans="1:12" ht="45" x14ac:dyDescent="0.3">
      <c r="A31" s="15">
        <v>13</v>
      </c>
      <c r="B31" s="16">
        <v>41011</v>
      </c>
      <c r="C31" s="33" t="s">
        <v>2726</v>
      </c>
      <c r="D31" s="18" t="s">
        <v>2727</v>
      </c>
      <c r="E31" s="19" t="s">
        <v>2728</v>
      </c>
      <c r="F31" s="19" t="s">
        <v>2729</v>
      </c>
      <c r="G31" s="21">
        <v>320</v>
      </c>
      <c r="H31" s="59" t="s">
        <v>27</v>
      </c>
    </row>
    <row r="32" spans="1:12" ht="30" x14ac:dyDescent="0.3">
      <c r="A32" s="15">
        <v>14</v>
      </c>
      <c r="B32" s="16">
        <v>40980</v>
      </c>
      <c r="C32" s="33" t="s">
        <v>2730</v>
      </c>
      <c r="D32" s="18" t="s">
        <v>2731</v>
      </c>
      <c r="E32" s="19" t="s">
        <v>1585</v>
      </c>
      <c r="F32" s="19" t="s">
        <v>2732</v>
      </c>
      <c r="G32" s="21">
        <v>3177.58</v>
      </c>
      <c r="H32" s="59" t="s">
        <v>27</v>
      </c>
    </row>
    <row r="33" spans="1:9" ht="30" x14ac:dyDescent="0.3">
      <c r="A33" s="15">
        <v>15</v>
      </c>
      <c r="B33" s="16">
        <v>41029</v>
      </c>
      <c r="C33" s="33" t="s">
        <v>2733</v>
      </c>
      <c r="D33" s="18" t="s">
        <v>2734</v>
      </c>
      <c r="E33" s="19" t="s">
        <v>2735</v>
      </c>
      <c r="F33" s="19" t="s">
        <v>249</v>
      </c>
      <c r="G33" s="21">
        <v>1454.17</v>
      </c>
      <c r="H33" s="59" t="s">
        <v>27</v>
      </c>
    </row>
    <row r="34" spans="1:9" ht="30" x14ac:dyDescent="0.3">
      <c r="A34" s="15">
        <v>16</v>
      </c>
      <c r="B34" s="16">
        <v>41033</v>
      </c>
      <c r="C34" s="33" t="s">
        <v>2736</v>
      </c>
      <c r="D34" s="18" t="s">
        <v>2737</v>
      </c>
      <c r="E34" s="19" t="s">
        <v>131</v>
      </c>
      <c r="F34" s="19" t="s">
        <v>2738</v>
      </c>
      <c r="G34" s="21">
        <v>1178</v>
      </c>
      <c r="H34" s="59" t="s">
        <v>27</v>
      </c>
    </row>
    <row r="35" spans="1:9" ht="45" x14ac:dyDescent="0.3">
      <c r="A35" s="15">
        <v>17</v>
      </c>
      <c r="B35" s="16">
        <v>41022</v>
      </c>
      <c r="C35" s="33" t="s">
        <v>2739</v>
      </c>
      <c r="D35" s="18" t="s">
        <v>2740</v>
      </c>
      <c r="E35" s="19" t="s">
        <v>91</v>
      </c>
      <c r="F35" s="19" t="s">
        <v>2741</v>
      </c>
      <c r="G35" s="21">
        <f>8618.72+15535.88</f>
        <v>24154.6</v>
      </c>
      <c r="H35" s="59" t="s">
        <v>27</v>
      </c>
    </row>
    <row r="36" spans="1:9" ht="45" x14ac:dyDescent="0.3">
      <c r="A36" s="15">
        <v>18</v>
      </c>
      <c r="B36" s="16">
        <v>41033</v>
      </c>
      <c r="C36" s="33" t="s">
        <v>2742</v>
      </c>
      <c r="D36" s="18" t="s">
        <v>2743</v>
      </c>
      <c r="E36" s="19" t="s">
        <v>131</v>
      </c>
      <c r="F36" s="19" t="s">
        <v>2744</v>
      </c>
      <c r="G36" s="21">
        <v>4908.5</v>
      </c>
      <c r="H36" s="59" t="s">
        <v>27</v>
      </c>
    </row>
    <row r="37" spans="1:9" ht="30" x14ac:dyDescent="0.3">
      <c r="A37" s="15">
        <v>19</v>
      </c>
      <c r="B37" s="16">
        <v>41003</v>
      </c>
      <c r="C37" s="33" t="s">
        <v>2745</v>
      </c>
      <c r="D37" s="18" t="s">
        <v>2746</v>
      </c>
      <c r="E37" s="19" t="s">
        <v>926</v>
      </c>
      <c r="F37" s="19" t="s">
        <v>1967</v>
      </c>
      <c r="G37" s="21">
        <v>8100.66</v>
      </c>
      <c r="H37" s="59" t="s">
        <v>27</v>
      </c>
      <c r="I37" t="s">
        <v>2747</v>
      </c>
    </row>
    <row r="38" spans="1:9" ht="45" x14ac:dyDescent="0.3">
      <c r="A38" s="15">
        <v>20</v>
      </c>
      <c r="B38" s="16">
        <v>41022</v>
      </c>
      <c r="C38" s="33" t="s">
        <v>2748</v>
      </c>
      <c r="D38" s="18" t="s">
        <v>2749</v>
      </c>
      <c r="E38" s="19" t="s">
        <v>2066</v>
      </c>
      <c r="F38" s="19" t="s">
        <v>242</v>
      </c>
      <c r="G38" s="21">
        <f>2700-270</f>
        <v>2430</v>
      </c>
      <c r="H38" s="59" t="s">
        <v>27</v>
      </c>
    </row>
    <row r="39" spans="1:9" ht="15" x14ac:dyDescent="0.3">
      <c r="A39" s="29"/>
      <c r="B39" s="30"/>
      <c r="C39" s="37"/>
      <c r="D39" s="30"/>
      <c r="E39" s="5"/>
      <c r="F39" s="46" t="s">
        <v>24</v>
      </c>
      <c r="G39" s="36">
        <f>SUM(G19:G38)</f>
        <v>66689.271999999997</v>
      </c>
      <c r="H39" s="104"/>
    </row>
    <row r="42" spans="1:9" ht="12.75" customHeight="1" x14ac:dyDescent="0.2">
      <c r="F42" s="207" t="s">
        <v>0</v>
      </c>
      <c r="G42" s="207"/>
    </row>
    <row r="43" spans="1:9" ht="18.75" x14ac:dyDescent="0.3">
      <c r="A43" s="31" t="s">
        <v>1</v>
      </c>
      <c r="B43" s="29"/>
      <c r="C43" s="37"/>
      <c r="D43" s="30"/>
      <c r="E43" s="5"/>
      <c r="F43" s="29"/>
      <c r="G43" s="29"/>
    </row>
    <row r="44" spans="1:9" ht="15" x14ac:dyDescent="0.3">
      <c r="A44" s="29"/>
      <c r="B44" s="30"/>
      <c r="C44" s="37"/>
      <c r="D44" s="30"/>
      <c r="E44" s="5"/>
      <c r="F44" s="5"/>
      <c r="G44" s="32"/>
    </row>
    <row r="45" spans="1:9" ht="18" x14ac:dyDescent="0.25">
      <c r="A45" s="208" t="s">
        <v>2750</v>
      </c>
      <c r="B45" s="208"/>
      <c r="C45" s="208"/>
      <c r="D45" s="208"/>
      <c r="E45" s="208"/>
      <c r="F45" s="208"/>
      <c r="G45" s="208"/>
    </row>
    <row r="46" spans="1:9" ht="18" x14ac:dyDescent="0.25">
      <c r="A46" s="208" t="s">
        <v>157</v>
      </c>
      <c r="B46" s="208"/>
      <c r="C46" s="208"/>
      <c r="D46" s="208"/>
      <c r="E46" s="208"/>
      <c r="F46" s="208"/>
      <c r="G46" s="208"/>
    </row>
    <row r="47" spans="1:9" ht="15" x14ac:dyDescent="0.3">
      <c r="A47" s="29"/>
      <c r="B47" s="9"/>
      <c r="C47" s="9"/>
      <c r="D47" s="9"/>
      <c r="E47" s="9"/>
      <c r="F47" s="10"/>
      <c r="G47" s="11"/>
    </row>
    <row r="48" spans="1:9" x14ac:dyDescent="0.2">
      <c r="A48" s="12" t="s">
        <v>2</v>
      </c>
      <c r="B48" s="12" t="s">
        <v>3</v>
      </c>
      <c r="C48" s="13" t="s">
        <v>4</v>
      </c>
      <c r="D48" s="14" t="s">
        <v>25</v>
      </c>
      <c r="E48" s="13" t="s">
        <v>6</v>
      </c>
      <c r="F48" s="13" t="s">
        <v>7</v>
      </c>
      <c r="G48" s="13" t="s">
        <v>32</v>
      </c>
      <c r="H48" s="13" t="s">
        <v>8</v>
      </c>
    </row>
    <row r="49" spans="1:9" ht="45" x14ac:dyDescent="0.3">
      <c r="A49" s="15">
        <v>1</v>
      </c>
      <c r="B49" s="16">
        <v>41026</v>
      </c>
      <c r="C49" s="33" t="s">
        <v>1406</v>
      </c>
      <c r="D49" s="18" t="s">
        <v>2751</v>
      </c>
      <c r="E49" s="19" t="s">
        <v>160</v>
      </c>
      <c r="F49" s="19" t="s">
        <v>2752</v>
      </c>
      <c r="G49" s="21">
        <v>61638</v>
      </c>
      <c r="H49" s="21">
        <v>0</v>
      </c>
      <c r="I49" t="s">
        <v>27</v>
      </c>
    </row>
    <row r="50" spans="1:9" ht="45" x14ac:dyDescent="0.3">
      <c r="A50" s="15">
        <v>2</v>
      </c>
      <c r="B50" s="16">
        <v>41026</v>
      </c>
      <c r="C50" s="33" t="s">
        <v>1406</v>
      </c>
      <c r="D50" s="18" t="s">
        <v>2753</v>
      </c>
      <c r="E50" s="19" t="s">
        <v>160</v>
      </c>
      <c r="F50" s="19" t="s">
        <v>2754</v>
      </c>
      <c r="G50" s="21">
        <v>10747</v>
      </c>
      <c r="H50" s="21">
        <v>0</v>
      </c>
      <c r="I50" t="s">
        <v>27</v>
      </c>
    </row>
    <row r="51" spans="1:9" ht="30" x14ac:dyDescent="0.3">
      <c r="A51" s="15">
        <v>3</v>
      </c>
      <c r="B51" s="16">
        <v>41024</v>
      </c>
      <c r="C51" s="33" t="s">
        <v>1406</v>
      </c>
      <c r="D51" s="18" t="s">
        <v>2755</v>
      </c>
      <c r="E51" s="19" t="s">
        <v>616</v>
      </c>
      <c r="F51" s="19" t="s">
        <v>2756</v>
      </c>
      <c r="G51" s="21">
        <v>0</v>
      </c>
      <c r="H51" s="21">
        <v>6075</v>
      </c>
      <c r="I51" t="s">
        <v>27</v>
      </c>
    </row>
    <row r="52" spans="1:9" ht="45" x14ac:dyDescent="0.3">
      <c r="A52" s="15">
        <v>4</v>
      </c>
      <c r="B52" s="16">
        <v>41024</v>
      </c>
      <c r="C52" s="33" t="s">
        <v>1406</v>
      </c>
      <c r="D52" s="18" t="s">
        <v>2757</v>
      </c>
      <c r="E52" s="19" t="s">
        <v>616</v>
      </c>
      <c r="F52" s="19" t="s">
        <v>2758</v>
      </c>
      <c r="G52" s="21">
        <v>66.08</v>
      </c>
      <c r="H52" s="21">
        <v>0</v>
      </c>
      <c r="I52" t="s">
        <v>27</v>
      </c>
    </row>
    <row r="53" spans="1:9" ht="60" x14ac:dyDescent="0.3">
      <c r="A53" s="15">
        <v>5</v>
      </c>
      <c r="B53" s="16">
        <v>41024</v>
      </c>
      <c r="C53" s="33" t="s">
        <v>1406</v>
      </c>
      <c r="D53" s="18" t="s">
        <v>2759</v>
      </c>
      <c r="E53" s="19" t="s">
        <v>616</v>
      </c>
      <c r="F53" s="19" t="s">
        <v>2760</v>
      </c>
      <c r="G53" s="21">
        <v>3504.88</v>
      </c>
      <c r="H53" s="21">
        <v>0</v>
      </c>
      <c r="I53" t="s">
        <v>27</v>
      </c>
    </row>
    <row r="54" spans="1:9" ht="15" x14ac:dyDescent="0.3">
      <c r="A54" s="29"/>
      <c r="B54" s="30"/>
      <c r="C54" s="37"/>
      <c r="D54" s="30"/>
      <c r="E54" s="5"/>
      <c r="F54" s="46" t="s">
        <v>24</v>
      </c>
      <c r="G54" s="36">
        <f>SUM(G49:G53)</f>
        <v>75955.960000000006</v>
      </c>
      <c r="H54" s="27">
        <f>SUM(H49:H53)</f>
        <v>6075</v>
      </c>
    </row>
    <row r="55" spans="1:9" x14ac:dyDescent="0.2">
      <c r="B55" s="35"/>
    </row>
    <row r="56" spans="1:9" x14ac:dyDescent="0.2">
      <c r="B56" s="35"/>
    </row>
    <row r="57" spans="1:9" x14ac:dyDescent="0.2">
      <c r="A57" s="216" t="s">
        <v>1807</v>
      </c>
      <c r="B57" s="216"/>
      <c r="C57" s="216"/>
      <c r="D57" s="216"/>
      <c r="E57" s="216"/>
      <c r="F57" s="216"/>
      <c r="G57" s="216"/>
      <c r="I57" s="35"/>
    </row>
    <row r="58" spans="1:9" x14ac:dyDescent="0.2">
      <c r="A58" s="216"/>
      <c r="B58" s="216"/>
      <c r="C58" s="216"/>
      <c r="D58" s="216"/>
      <c r="E58" s="216"/>
      <c r="F58" s="216"/>
      <c r="G58" s="216"/>
      <c r="I58" s="35"/>
    </row>
    <row r="59" spans="1:9" x14ac:dyDescent="0.2">
      <c r="A59" s="216"/>
      <c r="B59" s="216"/>
      <c r="C59" s="216"/>
      <c r="D59" s="216"/>
      <c r="E59" s="216"/>
      <c r="F59" s="216"/>
      <c r="G59" s="216"/>
    </row>
    <row r="61" spans="1:9" ht="15" customHeight="1" x14ac:dyDescent="0.3">
      <c r="A61" s="1"/>
      <c r="B61" s="2"/>
      <c r="C61" s="3"/>
      <c r="D61" s="4"/>
      <c r="E61" s="5"/>
      <c r="F61" s="207" t="s">
        <v>0</v>
      </c>
      <c r="G61" s="207"/>
    </row>
    <row r="62" spans="1:9" ht="18.75" x14ac:dyDescent="0.3">
      <c r="A62" s="7" t="s">
        <v>1</v>
      </c>
      <c r="B62" s="7"/>
      <c r="C62" s="3"/>
      <c r="D62" s="4"/>
      <c r="E62" s="5"/>
      <c r="F62" s="5"/>
      <c r="G62" s="8"/>
    </row>
    <row r="63" spans="1:9" ht="15" x14ac:dyDescent="0.3">
      <c r="A63" s="1"/>
      <c r="B63" s="2"/>
      <c r="C63" s="3"/>
      <c r="D63" s="4"/>
      <c r="E63" s="5"/>
      <c r="F63" s="5"/>
      <c r="G63" s="8"/>
    </row>
    <row r="64" spans="1:9" ht="15" x14ac:dyDescent="0.3">
      <c r="A64" s="1"/>
      <c r="B64" s="2"/>
      <c r="C64" s="3"/>
      <c r="D64" s="4"/>
      <c r="E64" s="5"/>
      <c r="F64" s="5"/>
      <c r="G64" s="8"/>
    </row>
    <row r="65" spans="1:12" ht="18" x14ac:dyDescent="0.25">
      <c r="A65" s="208" t="s">
        <v>2690</v>
      </c>
      <c r="B65" s="208"/>
      <c r="C65" s="208"/>
      <c r="D65" s="208"/>
      <c r="E65" s="208"/>
      <c r="F65" s="208"/>
      <c r="G65" s="208"/>
    </row>
    <row r="66" spans="1:12" ht="15" x14ac:dyDescent="0.3">
      <c r="A66" s="1"/>
      <c r="B66" s="9"/>
      <c r="C66" s="9"/>
      <c r="D66" s="9"/>
      <c r="E66" s="9"/>
      <c r="F66" s="10"/>
      <c r="G66" s="11"/>
    </row>
    <row r="67" spans="1:12" x14ac:dyDescent="0.2">
      <c r="A67" s="12" t="s">
        <v>2</v>
      </c>
      <c r="B67" s="12" t="s">
        <v>3</v>
      </c>
      <c r="C67" s="13" t="s">
        <v>4</v>
      </c>
      <c r="D67" s="14" t="s">
        <v>5</v>
      </c>
      <c r="E67" s="13" t="s">
        <v>6</v>
      </c>
      <c r="F67" s="13" t="s">
        <v>7</v>
      </c>
      <c r="G67" s="13" t="s">
        <v>32</v>
      </c>
    </row>
    <row r="68" spans="1:12" ht="90" x14ac:dyDescent="0.3">
      <c r="A68" s="110">
        <v>1</v>
      </c>
      <c r="B68" s="16">
        <v>40994</v>
      </c>
      <c r="C68" s="33" t="s">
        <v>2641</v>
      </c>
      <c r="D68" s="18" t="s">
        <v>2761</v>
      </c>
      <c r="E68" s="19" t="s">
        <v>2643</v>
      </c>
      <c r="F68" s="19" t="s">
        <v>2644</v>
      </c>
      <c r="G68" s="21">
        <f>118000-(118000*0.12)</f>
        <v>103840</v>
      </c>
      <c r="H68" s="59" t="s">
        <v>27</v>
      </c>
      <c r="I68" s="35" t="s">
        <v>1807</v>
      </c>
    </row>
    <row r="69" spans="1:12" ht="15" x14ac:dyDescent="0.2">
      <c r="A69" s="22"/>
      <c r="B69" s="22"/>
      <c r="C69" s="23"/>
      <c r="D69" s="24"/>
      <c r="E69" s="25"/>
      <c r="F69" s="26" t="s">
        <v>24</v>
      </c>
      <c r="G69" s="36">
        <f>SUM(G68:G68)</f>
        <v>103840</v>
      </c>
    </row>
    <row r="74" spans="1:12" ht="12.75" customHeight="1" x14ac:dyDescent="0.2">
      <c r="F74" s="207" t="s">
        <v>0</v>
      </c>
      <c r="G74" s="207"/>
    </row>
    <row r="75" spans="1:12" ht="18.75" x14ac:dyDescent="0.3">
      <c r="A75" s="31" t="s">
        <v>1</v>
      </c>
      <c r="B75" s="29"/>
      <c r="C75" s="37"/>
      <c r="D75" s="30"/>
      <c r="E75" s="5"/>
      <c r="F75" s="29"/>
      <c r="G75" s="29"/>
    </row>
    <row r="76" spans="1:12" ht="15" x14ac:dyDescent="0.3">
      <c r="A76" s="29"/>
      <c r="B76" s="30"/>
      <c r="C76" s="37"/>
      <c r="D76" s="30"/>
      <c r="E76" s="5"/>
      <c r="F76" s="5"/>
      <c r="G76" s="32"/>
    </row>
    <row r="77" spans="1:12" ht="18" x14ac:dyDescent="0.25">
      <c r="A77" s="208" t="s">
        <v>2691</v>
      </c>
      <c r="B77" s="208"/>
      <c r="C77" s="208"/>
      <c r="D77" s="208"/>
      <c r="E77" s="208"/>
      <c r="F77" s="208"/>
      <c r="G77" s="208"/>
      <c r="J77" s="35"/>
      <c r="K77" s="35"/>
    </row>
    <row r="78" spans="1:12" ht="15" x14ac:dyDescent="0.3">
      <c r="A78" s="29"/>
      <c r="B78" s="9"/>
      <c r="C78" s="9"/>
      <c r="D78" s="9"/>
      <c r="E78" s="9"/>
      <c r="F78" s="10"/>
      <c r="G78" s="11"/>
      <c r="J78" s="35"/>
      <c r="K78" s="35"/>
      <c r="L78" s="35"/>
    </row>
    <row r="79" spans="1:12" x14ac:dyDescent="0.2">
      <c r="A79" s="12" t="s">
        <v>2</v>
      </c>
      <c r="B79" s="12" t="s">
        <v>3</v>
      </c>
      <c r="C79" s="13" t="s">
        <v>4</v>
      </c>
      <c r="D79" s="14" t="s">
        <v>25</v>
      </c>
      <c r="E79" s="13" t="s">
        <v>6</v>
      </c>
      <c r="F79" s="13" t="s">
        <v>7</v>
      </c>
      <c r="G79" s="13" t="s">
        <v>32</v>
      </c>
    </row>
    <row r="80" spans="1:12" ht="15" x14ac:dyDescent="0.3">
      <c r="A80" s="15">
        <v>1</v>
      </c>
      <c r="B80" s="16"/>
      <c r="C80" s="33"/>
      <c r="D80" s="18"/>
      <c r="E80" s="19"/>
      <c r="F80" s="19"/>
      <c r="G80" s="21"/>
      <c r="H80" s="59"/>
    </row>
    <row r="81" spans="1:8" ht="15" x14ac:dyDescent="0.3">
      <c r="A81" s="29"/>
      <c r="B81" s="30"/>
      <c r="C81" s="37"/>
      <c r="D81" s="30"/>
      <c r="E81" s="5"/>
      <c r="F81" s="46" t="s">
        <v>24</v>
      </c>
      <c r="G81" s="36">
        <f>SUM(G80:G80)</f>
        <v>0</v>
      </c>
      <c r="H81" s="104"/>
    </row>
  </sheetData>
  <sheetProtection selectLockedCells="1" selectUnlockedCells="1"/>
  <mergeCells count="12">
    <mergeCell ref="F74:G74"/>
    <mergeCell ref="A77:G77"/>
    <mergeCell ref="A45:G45"/>
    <mergeCell ref="A46:G46"/>
    <mergeCell ref="A57:G59"/>
    <mergeCell ref="F61:G61"/>
    <mergeCell ref="A65:G65"/>
    <mergeCell ref="F1:G1"/>
    <mergeCell ref="A5:G5"/>
    <mergeCell ref="F13:G13"/>
    <mergeCell ref="A16:G16"/>
    <mergeCell ref="F42:G42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5"/>
  <dimension ref="A1:H61"/>
  <sheetViews>
    <sheetView topLeftCell="A22" workbookViewId="0">
      <selection activeCell="H39" sqref="H39"/>
    </sheetView>
  </sheetViews>
  <sheetFormatPr baseColWidth="10" defaultColWidth="10.7109375" defaultRowHeight="12.75" x14ac:dyDescent="0.2"/>
  <cols>
    <col min="1" max="1" width="4.85546875" customWidth="1"/>
    <col min="2" max="2" width="12.5703125" customWidth="1"/>
    <col min="4" max="4" width="13" customWidth="1"/>
    <col min="5" max="5" width="26.28515625" customWidth="1"/>
    <col min="6" max="6" width="28" customWidth="1"/>
    <col min="7" max="7" width="13.28515625" customWidth="1"/>
  </cols>
  <sheetData>
    <row r="1" spans="1:7" ht="15" customHeight="1" x14ac:dyDescent="0.3">
      <c r="A1" s="1"/>
      <c r="B1" s="2"/>
      <c r="C1" s="3"/>
      <c r="D1" s="4"/>
      <c r="E1" s="5"/>
      <c r="F1" s="207" t="s">
        <v>0</v>
      </c>
      <c r="G1" s="207"/>
    </row>
    <row r="2" spans="1:7" ht="18.75" x14ac:dyDescent="0.3">
      <c r="A2" s="7" t="s">
        <v>1</v>
      </c>
      <c r="B2" s="7"/>
      <c r="C2" s="3"/>
      <c r="D2" s="4"/>
      <c r="E2" s="5"/>
      <c r="F2" s="5"/>
      <c r="G2" s="8"/>
    </row>
    <row r="3" spans="1:7" ht="15" x14ac:dyDescent="0.3">
      <c r="A3" s="1"/>
      <c r="B3" s="2"/>
      <c r="C3" s="3"/>
      <c r="D3" s="4"/>
      <c r="E3" s="5"/>
      <c r="F3" s="5"/>
      <c r="G3" s="8"/>
    </row>
    <row r="4" spans="1:7" ht="15" x14ac:dyDescent="0.3">
      <c r="A4" s="1"/>
      <c r="B4" s="2"/>
      <c r="C4" s="3"/>
      <c r="D4" s="4"/>
      <c r="E4" s="5"/>
      <c r="F4" s="5"/>
      <c r="G4" s="8"/>
    </row>
    <row r="5" spans="1:7" ht="18" x14ac:dyDescent="0.25">
      <c r="A5" s="208" t="s">
        <v>2762</v>
      </c>
      <c r="B5" s="208"/>
      <c r="C5" s="208"/>
      <c r="D5" s="208"/>
      <c r="E5" s="208"/>
      <c r="F5" s="208"/>
      <c r="G5" s="208"/>
    </row>
    <row r="6" spans="1:7" ht="15" x14ac:dyDescent="0.3">
      <c r="A6" s="1"/>
      <c r="B6" s="9"/>
      <c r="C6" s="9"/>
      <c r="D6" s="9"/>
      <c r="E6" s="9"/>
      <c r="F6" s="10"/>
      <c r="G6" s="11"/>
    </row>
    <row r="7" spans="1:7" x14ac:dyDescent="0.2">
      <c r="A7" s="12" t="s">
        <v>2</v>
      </c>
      <c r="B7" s="12" t="s">
        <v>3</v>
      </c>
      <c r="C7" s="13" t="s">
        <v>4</v>
      </c>
      <c r="D7" s="14" t="s">
        <v>5</v>
      </c>
      <c r="E7" s="13" t="s">
        <v>6</v>
      </c>
      <c r="F7" s="13" t="s">
        <v>7</v>
      </c>
      <c r="G7" s="13" t="s">
        <v>8</v>
      </c>
    </row>
    <row r="8" spans="1:7" ht="26.25" x14ac:dyDescent="0.3">
      <c r="A8" s="15">
        <v>1</v>
      </c>
      <c r="B8" s="16">
        <v>40982</v>
      </c>
      <c r="C8" s="33" t="s">
        <v>2763</v>
      </c>
      <c r="D8" s="18">
        <f>+B8+45</f>
        <v>41027</v>
      </c>
      <c r="E8" s="19" t="s">
        <v>2764</v>
      </c>
      <c r="F8" s="19" t="s">
        <v>695</v>
      </c>
      <c r="G8" s="21">
        <v>9659.9599999999991</v>
      </c>
    </row>
    <row r="9" spans="1:7" ht="30" x14ac:dyDescent="0.3">
      <c r="A9" s="15">
        <v>2</v>
      </c>
      <c r="B9" s="16">
        <v>40996</v>
      </c>
      <c r="C9" s="33" t="s">
        <v>2765</v>
      </c>
      <c r="D9" s="18">
        <f>+B9+30</f>
        <v>41026</v>
      </c>
      <c r="E9" s="19" t="s">
        <v>1453</v>
      </c>
      <c r="F9" s="19" t="s">
        <v>2766</v>
      </c>
      <c r="G9" s="21">
        <v>98.18</v>
      </c>
    </row>
    <row r="10" spans="1:7" ht="30" x14ac:dyDescent="0.3">
      <c r="A10" s="15">
        <v>3</v>
      </c>
      <c r="B10" s="16">
        <v>40966</v>
      </c>
      <c r="C10" s="33" t="s">
        <v>2767</v>
      </c>
      <c r="D10" s="18">
        <f>+B10+60</f>
        <v>41026</v>
      </c>
      <c r="E10" s="19" t="s">
        <v>1428</v>
      </c>
      <c r="F10" s="19" t="s">
        <v>2768</v>
      </c>
      <c r="G10" s="21">
        <v>1318.51</v>
      </c>
    </row>
    <row r="11" spans="1:7" ht="30" x14ac:dyDescent="0.3">
      <c r="A11" s="15">
        <v>4</v>
      </c>
      <c r="B11" s="16">
        <v>40963</v>
      </c>
      <c r="C11" s="33" t="s">
        <v>2769</v>
      </c>
      <c r="D11" s="18">
        <f>+B11+60</f>
        <v>41023</v>
      </c>
      <c r="E11" s="19" t="s">
        <v>1428</v>
      </c>
      <c r="F11" s="19" t="s">
        <v>2770</v>
      </c>
      <c r="G11" s="21">
        <v>150.75</v>
      </c>
    </row>
    <row r="12" spans="1:7" ht="15" x14ac:dyDescent="0.2">
      <c r="A12" s="22"/>
      <c r="B12" s="22"/>
      <c r="C12" s="23"/>
      <c r="D12" s="24"/>
      <c r="E12" s="25"/>
      <c r="F12" s="26" t="s">
        <v>24</v>
      </c>
      <c r="G12" s="27">
        <f>SUM(G8:G11)</f>
        <v>11227.4</v>
      </c>
    </row>
    <row r="13" spans="1:7" x14ac:dyDescent="0.2">
      <c r="B13" s="35"/>
    </row>
    <row r="18" spans="1:8" ht="15" customHeight="1" x14ac:dyDescent="0.3">
      <c r="A18" s="29"/>
      <c r="B18" s="30"/>
      <c r="C18" s="37"/>
      <c r="D18" s="30"/>
      <c r="E18" s="5"/>
      <c r="F18" s="207" t="s">
        <v>0</v>
      </c>
      <c r="G18" s="207"/>
    </row>
    <row r="19" spans="1:8" ht="18.75" x14ac:dyDescent="0.3">
      <c r="A19" s="31" t="s">
        <v>1</v>
      </c>
      <c r="B19" s="29"/>
      <c r="C19" s="37"/>
      <c r="D19" s="30"/>
      <c r="E19" s="5"/>
      <c r="F19" s="29"/>
      <c r="G19" s="29"/>
    </row>
    <row r="20" spans="1:8" ht="15" x14ac:dyDescent="0.3">
      <c r="A20" s="29"/>
      <c r="B20" s="30"/>
      <c r="C20" s="37"/>
      <c r="D20" s="30"/>
      <c r="E20" s="5"/>
      <c r="F20" s="5"/>
      <c r="G20" s="32"/>
    </row>
    <row r="21" spans="1:8" ht="18" x14ac:dyDescent="0.25">
      <c r="A21" s="208" t="s">
        <v>2771</v>
      </c>
      <c r="B21" s="208"/>
      <c r="C21" s="208"/>
      <c r="D21" s="208"/>
      <c r="E21" s="208"/>
      <c r="F21" s="208"/>
      <c r="G21" s="208"/>
    </row>
    <row r="22" spans="1:8" ht="15" x14ac:dyDescent="0.3">
      <c r="A22" s="29"/>
      <c r="B22" s="9"/>
      <c r="C22" s="9"/>
      <c r="D22" s="9"/>
      <c r="E22" s="9"/>
      <c r="F22" s="10"/>
      <c r="G22" s="11"/>
    </row>
    <row r="23" spans="1:8" x14ac:dyDescent="0.2">
      <c r="A23" s="12" t="s">
        <v>2</v>
      </c>
      <c r="B23" s="12" t="s">
        <v>3</v>
      </c>
      <c r="C23" s="13" t="s">
        <v>4</v>
      </c>
      <c r="D23" s="14" t="s">
        <v>25</v>
      </c>
      <c r="E23" s="13" t="s">
        <v>6</v>
      </c>
      <c r="F23" s="13" t="s">
        <v>7</v>
      </c>
      <c r="G23" s="13" t="s">
        <v>8</v>
      </c>
    </row>
    <row r="24" spans="1:8" ht="30" x14ac:dyDescent="0.3">
      <c r="A24" s="15">
        <v>1</v>
      </c>
      <c r="B24" s="16">
        <v>41031</v>
      </c>
      <c r="C24" s="33" t="s">
        <v>2772</v>
      </c>
      <c r="D24" s="18" t="s">
        <v>2773</v>
      </c>
      <c r="E24" s="19" t="s">
        <v>212</v>
      </c>
      <c r="F24" s="19" t="s">
        <v>2774</v>
      </c>
      <c r="G24" s="21">
        <v>445.37</v>
      </c>
      <c r="H24" s="45" t="s">
        <v>27</v>
      </c>
    </row>
    <row r="25" spans="1:8" ht="30" x14ac:dyDescent="0.3">
      <c r="A25" s="15">
        <v>2</v>
      </c>
      <c r="B25" s="16">
        <v>41002</v>
      </c>
      <c r="C25" s="33" t="s">
        <v>2775</v>
      </c>
      <c r="D25" s="18" t="s">
        <v>2776</v>
      </c>
      <c r="E25" s="19" t="s">
        <v>2777</v>
      </c>
      <c r="F25" s="19" t="s">
        <v>2778</v>
      </c>
      <c r="G25" s="21">
        <v>182.67</v>
      </c>
      <c r="H25" s="45" t="s">
        <v>27</v>
      </c>
    </row>
    <row r="26" spans="1:8" x14ac:dyDescent="0.2">
      <c r="B26" s="35"/>
      <c r="F26" s="26" t="s">
        <v>24</v>
      </c>
      <c r="G26" s="27">
        <f>SUM(G24:G25)</f>
        <v>628.04</v>
      </c>
    </row>
    <row r="31" spans="1:8" ht="15" customHeight="1" x14ac:dyDescent="0.3">
      <c r="A31" s="29"/>
      <c r="B31" s="30"/>
      <c r="C31" s="37"/>
      <c r="D31" s="30"/>
      <c r="E31" s="5"/>
      <c r="F31" s="207" t="s">
        <v>0</v>
      </c>
      <c r="G31" s="207"/>
    </row>
    <row r="32" spans="1:8" ht="18.75" x14ac:dyDescent="0.3">
      <c r="A32" s="31" t="s">
        <v>1</v>
      </c>
      <c r="B32" s="29"/>
      <c r="C32" s="37"/>
      <c r="D32" s="30"/>
      <c r="E32" s="5"/>
      <c r="F32" s="29"/>
      <c r="G32" s="29"/>
    </row>
    <row r="33" spans="1:8" ht="15" x14ac:dyDescent="0.3">
      <c r="A33" s="29"/>
      <c r="B33" s="30"/>
      <c r="C33" s="37"/>
      <c r="D33" s="30"/>
      <c r="E33" s="5"/>
      <c r="F33" s="5"/>
      <c r="G33" s="32"/>
    </row>
    <row r="34" spans="1:8" ht="15" x14ac:dyDescent="0.3">
      <c r="A34" s="29"/>
      <c r="B34" s="30"/>
      <c r="C34" s="37"/>
      <c r="D34" s="30"/>
      <c r="E34" s="5"/>
      <c r="F34" s="5"/>
      <c r="G34" s="32"/>
    </row>
    <row r="35" spans="1:8" ht="18" x14ac:dyDescent="0.25">
      <c r="A35" s="208" t="s">
        <v>2779</v>
      </c>
      <c r="B35" s="208"/>
      <c r="C35" s="208"/>
      <c r="D35" s="208"/>
      <c r="E35" s="208"/>
      <c r="F35" s="208"/>
      <c r="G35" s="208"/>
    </row>
    <row r="36" spans="1:8" ht="15" x14ac:dyDescent="0.3">
      <c r="A36" s="29"/>
      <c r="B36" s="9"/>
      <c r="C36" s="9"/>
      <c r="D36" s="9"/>
      <c r="E36" s="9"/>
      <c r="F36" s="10"/>
      <c r="G36" s="11"/>
    </row>
    <row r="37" spans="1:8" x14ac:dyDescent="0.2">
      <c r="A37" s="12" t="s">
        <v>2</v>
      </c>
      <c r="B37" s="12" t="s">
        <v>3</v>
      </c>
      <c r="C37" s="13" t="s">
        <v>4</v>
      </c>
      <c r="D37" s="14" t="s">
        <v>5</v>
      </c>
      <c r="E37" s="13" t="s">
        <v>6</v>
      </c>
      <c r="F37" s="13" t="s">
        <v>146</v>
      </c>
      <c r="G37" s="13" t="s">
        <v>8</v>
      </c>
    </row>
    <row r="38" spans="1:8" ht="30" x14ac:dyDescent="0.3">
      <c r="A38" s="15">
        <v>1</v>
      </c>
      <c r="B38" s="16">
        <v>40917</v>
      </c>
      <c r="C38" s="33" t="s">
        <v>2780</v>
      </c>
      <c r="D38" s="18">
        <v>41033</v>
      </c>
      <c r="E38" s="19" t="s">
        <v>669</v>
      </c>
      <c r="F38" s="19" t="s">
        <v>306</v>
      </c>
      <c r="G38" s="21">
        <v>73745.279999999999</v>
      </c>
      <c r="H38" s="45" t="s">
        <v>27</v>
      </c>
    </row>
    <row r="39" spans="1:8" x14ac:dyDescent="0.2">
      <c r="F39" s="26" t="s">
        <v>24</v>
      </c>
      <c r="G39" s="27">
        <f>SUM(G38:G38)</f>
        <v>73745.279999999999</v>
      </c>
    </row>
    <row r="45" spans="1:8" x14ac:dyDescent="0.2">
      <c r="A45" s="216" t="s">
        <v>1807</v>
      </c>
      <c r="B45" s="216"/>
      <c r="C45" s="216"/>
      <c r="D45" s="216"/>
      <c r="E45" s="216"/>
      <c r="F45" s="216"/>
      <c r="G45" s="216"/>
    </row>
    <row r="46" spans="1:8" x14ac:dyDescent="0.2">
      <c r="A46" s="216"/>
      <c r="B46" s="216"/>
      <c r="C46" s="216"/>
      <c r="D46" s="216"/>
      <c r="E46" s="216"/>
      <c r="F46" s="216"/>
      <c r="G46" s="216"/>
    </row>
    <row r="47" spans="1:8" x14ac:dyDescent="0.2">
      <c r="A47" s="216"/>
      <c r="B47" s="216"/>
      <c r="C47" s="216"/>
      <c r="D47" s="216"/>
      <c r="E47" s="216"/>
      <c r="F47" s="216"/>
      <c r="G47" s="216"/>
    </row>
    <row r="50" spans="1:7" ht="15" customHeight="1" x14ac:dyDescent="0.3">
      <c r="A50" s="1"/>
      <c r="B50" s="2"/>
      <c r="C50" s="3"/>
      <c r="D50" s="4"/>
      <c r="E50" s="5"/>
      <c r="F50" s="207" t="s">
        <v>0</v>
      </c>
      <c r="G50" s="207"/>
    </row>
    <row r="51" spans="1:7" ht="18.75" x14ac:dyDescent="0.3">
      <c r="A51" s="7" t="s">
        <v>1</v>
      </c>
      <c r="B51" s="7"/>
      <c r="C51" s="3"/>
      <c r="D51" s="4"/>
      <c r="E51" s="5"/>
      <c r="F51" s="5"/>
      <c r="G51" s="8"/>
    </row>
    <row r="52" spans="1:7" ht="15" x14ac:dyDescent="0.3">
      <c r="A52" s="1"/>
      <c r="B52" s="2"/>
      <c r="C52" s="3"/>
      <c r="D52" s="4"/>
      <c r="E52" s="5"/>
      <c r="F52" s="5"/>
      <c r="G52" s="8"/>
    </row>
    <row r="53" spans="1:7" ht="15" x14ac:dyDescent="0.3">
      <c r="A53" s="1"/>
      <c r="B53" s="2"/>
      <c r="C53" s="3"/>
      <c r="D53" s="4"/>
      <c r="E53" s="5"/>
      <c r="F53" s="5"/>
      <c r="G53" s="8"/>
    </row>
    <row r="54" spans="1:7" ht="18" x14ac:dyDescent="0.25">
      <c r="A54" s="208" t="s">
        <v>2762</v>
      </c>
      <c r="B54" s="208"/>
      <c r="C54" s="208"/>
      <c r="D54" s="208"/>
      <c r="E54" s="208"/>
      <c r="F54" s="208"/>
      <c r="G54" s="208"/>
    </row>
    <row r="55" spans="1:7" ht="15" x14ac:dyDescent="0.3">
      <c r="A55" s="1"/>
      <c r="B55" s="9"/>
      <c r="C55" s="9"/>
      <c r="D55" s="9"/>
      <c r="E55" s="9"/>
      <c r="F55" s="10"/>
      <c r="G55" s="11"/>
    </row>
    <row r="56" spans="1:7" x14ac:dyDescent="0.2">
      <c r="A56" s="12" t="s">
        <v>2</v>
      </c>
      <c r="B56" s="12" t="s">
        <v>3</v>
      </c>
      <c r="C56" s="13" t="s">
        <v>4</v>
      </c>
      <c r="D56" s="14" t="s">
        <v>5</v>
      </c>
      <c r="E56" s="13" t="s">
        <v>6</v>
      </c>
      <c r="F56" s="13" t="s">
        <v>7</v>
      </c>
      <c r="G56" s="13" t="s">
        <v>8</v>
      </c>
    </row>
    <row r="57" spans="1:7" ht="15" x14ac:dyDescent="0.3">
      <c r="A57" s="15">
        <v>1</v>
      </c>
      <c r="B57" s="16"/>
      <c r="C57" s="33"/>
      <c r="D57" s="18"/>
      <c r="E57" s="19"/>
      <c r="F57" s="19"/>
      <c r="G57" s="21"/>
    </row>
    <row r="58" spans="1:7" ht="15" x14ac:dyDescent="0.3">
      <c r="A58" s="15">
        <v>2</v>
      </c>
      <c r="B58" s="16"/>
      <c r="C58" s="33"/>
      <c r="D58" s="18"/>
      <c r="E58" s="19"/>
      <c r="F58" s="19"/>
      <c r="G58" s="21"/>
    </row>
    <row r="59" spans="1:7" ht="15" x14ac:dyDescent="0.3">
      <c r="A59" s="15">
        <v>3</v>
      </c>
      <c r="B59" s="16"/>
      <c r="C59" s="33"/>
      <c r="D59" s="18"/>
      <c r="E59" s="19"/>
      <c r="F59" s="19"/>
      <c r="G59" s="21"/>
    </row>
    <row r="60" spans="1:7" ht="15" x14ac:dyDescent="0.3">
      <c r="A60" s="15">
        <v>4</v>
      </c>
      <c r="B60" s="16"/>
      <c r="C60" s="33"/>
      <c r="D60" s="18"/>
      <c r="E60" s="19"/>
      <c r="F60" s="19"/>
      <c r="G60" s="21"/>
    </row>
    <row r="61" spans="1:7" ht="15" x14ac:dyDescent="0.2">
      <c r="A61" s="22"/>
      <c r="B61" s="22"/>
      <c r="C61" s="23"/>
      <c r="D61" s="24"/>
      <c r="E61" s="25"/>
      <c r="F61" s="26" t="s">
        <v>24</v>
      </c>
      <c r="G61" s="27">
        <f>SUM(G57:G60)</f>
        <v>0</v>
      </c>
    </row>
  </sheetData>
  <sheetProtection selectLockedCells="1" selectUnlockedCells="1"/>
  <mergeCells count="9">
    <mergeCell ref="A45:G47"/>
    <mergeCell ref="F50:G50"/>
    <mergeCell ref="A54:G54"/>
    <mergeCell ref="F1:G1"/>
    <mergeCell ref="A5:G5"/>
    <mergeCell ref="F18:G18"/>
    <mergeCell ref="A21:G21"/>
    <mergeCell ref="F31:G31"/>
    <mergeCell ref="A35:G35"/>
  </mergeCells>
  <pageMargins left="0.70833333333333337" right="0.70833333333333337" top="0.74791666666666667" bottom="0.74791666666666667" header="0.51180555555555551" footer="0.51180555555555551"/>
  <pageSetup paperSize="9" scale="85" firstPageNumber="0" orientation="portrait" horizontalDpi="300" verticalDpi="300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6">
    <pageSetUpPr fitToPage="1"/>
  </sheetPr>
  <dimension ref="A1:M78"/>
  <sheetViews>
    <sheetView zoomScale="95" zoomScaleNormal="95" workbookViewId="0">
      <selection activeCell="E27" sqref="E27"/>
    </sheetView>
  </sheetViews>
  <sheetFormatPr baseColWidth="10" defaultColWidth="10.7109375" defaultRowHeight="12.75" x14ac:dyDescent="0.2"/>
  <cols>
    <col min="1" max="1" width="3.85546875" customWidth="1"/>
    <col min="2" max="2" width="14.85546875" customWidth="1"/>
    <col min="3" max="3" width="17.85546875" customWidth="1"/>
    <col min="4" max="4" width="18.140625" customWidth="1"/>
    <col min="5" max="5" width="29.85546875" customWidth="1"/>
    <col min="6" max="6" width="51.5703125" customWidth="1"/>
    <col min="7" max="7" width="18.42578125" customWidth="1"/>
    <col min="8" max="8" width="20" customWidth="1"/>
    <col min="9" max="9" width="13.7109375" customWidth="1"/>
    <col min="10" max="10" width="9.5703125" customWidth="1"/>
    <col min="11" max="11" width="17" customWidth="1"/>
    <col min="12" max="12" width="8" customWidth="1"/>
    <col min="13" max="13" width="9.42578125" customWidth="1"/>
  </cols>
  <sheetData>
    <row r="1" spans="1:13" ht="16.5" customHeight="1" x14ac:dyDescent="0.3">
      <c r="A1" s="1"/>
      <c r="B1" s="2"/>
      <c r="C1" s="3"/>
      <c r="D1" s="4"/>
      <c r="E1" s="5"/>
      <c r="F1" s="222" t="s">
        <v>0</v>
      </c>
      <c r="G1" s="222"/>
      <c r="H1" s="222"/>
      <c r="I1" s="222"/>
      <c r="J1" s="222"/>
      <c r="K1" s="222"/>
    </row>
    <row r="2" spans="1:13" ht="18.75" x14ac:dyDescent="0.3">
      <c r="A2" s="111" t="s">
        <v>1</v>
      </c>
      <c r="B2" s="7"/>
      <c r="C2" s="3"/>
      <c r="D2" s="4"/>
      <c r="E2" s="5"/>
      <c r="F2" s="5"/>
      <c r="G2" s="5"/>
      <c r="H2" s="5"/>
      <c r="I2" s="5"/>
      <c r="J2" s="5"/>
    </row>
    <row r="3" spans="1:13" ht="15" x14ac:dyDescent="0.3">
      <c r="A3" s="1"/>
      <c r="B3" s="2"/>
      <c r="C3" s="3"/>
      <c r="D3" s="4"/>
      <c r="E3" s="5"/>
      <c r="F3" s="5"/>
      <c r="G3" s="5"/>
      <c r="H3" s="5"/>
      <c r="I3" s="5"/>
      <c r="J3" s="5"/>
    </row>
    <row r="4" spans="1:13" ht="18" x14ac:dyDescent="0.25">
      <c r="A4" s="208" t="s">
        <v>2792</v>
      </c>
      <c r="B4" s="208"/>
      <c r="C4" s="208"/>
      <c r="D4" s="208"/>
      <c r="E4" s="208"/>
      <c r="F4" s="208"/>
      <c r="G4" s="208"/>
      <c r="H4" s="208"/>
      <c r="I4" s="208"/>
      <c r="J4" s="208"/>
      <c r="K4" s="208"/>
    </row>
    <row r="5" spans="1:13" ht="15" x14ac:dyDescent="0.3">
      <c r="A5" s="1"/>
      <c r="B5" s="9"/>
      <c r="C5" s="9"/>
      <c r="D5" s="9"/>
      <c r="E5" s="9"/>
      <c r="F5" s="10"/>
      <c r="G5" s="10"/>
      <c r="H5" s="10"/>
      <c r="I5" s="10"/>
      <c r="J5" s="10"/>
    </row>
    <row r="6" spans="1:13" x14ac:dyDescent="0.2">
      <c r="A6" s="112" t="s">
        <v>2</v>
      </c>
      <c r="B6" s="128" t="s">
        <v>3</v>
      </c>
      <c r="C6" s="126" t="s">
        <v>4</v>
      </c>
      <c r="D6" s="129" t="s">
        <v>5</v>
      </c>
      <c r="E6" s="126" t="s">
        <v>6</v>
      </c>
      <c r="F6" s="126" t="s">
        <v>7</v>
      </c>
      <c r="G6" s="126" t="s">
        <v>2783</v>
      </c>
      <c r="H6" s="126" t="s">
        <v>2785</v>
      </c>
      <c r="I6" s="126" t="s">
        <v>158</v>
      </c>
      <c r="J6" s="126" t="s">
        <v>2784</v>
      </c>
      <c r="K6" s="126" t="s">
        <v>32</v>
      </c>
    </row>
    <row r="7" spans="1:13" s="60" customFormat="1" ht="15" x14ac:dyDescent="0.3">
      <c r="A7" s="132">
        <v>1</v>
      </c>
      <c r="B7" s="142">
        <v>42105</v>
      </c>
      <c r="C7" s="143" t="s">
        <v>2800</v>
      </c>
      <c r="D7" s="116">
        <v>41938</v>
      </c>
      <c r="E7" s="144" t="s">
        <v>2786</v>
      </c>
      <c r="F7" s="145" t="s">
        <v>2801</v>
      </c>
      <c r="G7" s="145"/>
      <c r="H7" s="145"/>
      <c r="I7" s="145"/>
      <c r="J7" s="145"/>
      <c r="K7" s="146">
        <v>153.03</v>
      </c>
    </row>
    <row r="8" spans="1:13" s="60" customFormat="1" ht="15" x14ac:dyDescent="0.3">
      <c r="A8" s="132">
        <v>2</v>
      </c>
      <c r="B8" s="142">
        <v>42105</v>
      </c>
      <c r="C8" s="143" t="s">
        <v>2802</v>
      </c>
      <c r="D8" s="116">
        <f>+B8+15</f>
        <v>42120</v>
      </c>
      <c r="E8" s="144" t="s">
        <v>2786</v>
      </c>
      <c r="F8" s="145" t="s">
        <v>2787</v>
      </c>
      <c r="G8" s="145"/>
      <c r="H8" s="145"/>
      <c r="I8" s="145"/>
      <c r="J8" s="145"/>
      <c r="K8" s="146">
        <v>478.5</v>
      </c>
    </row>
    <row r="9" spans="1:13" s="60" customFormat="1" ht="15" x14ac:dyDescent="0.3">
      <c r="A9" s="132">
        <v>3</v>
      </c>
      <c r="B9" s="142">
        <v>42110</v>
      </c>
      <c r="C9" s="143" t="s">
        <v>2812</v>
      </c>
      <c r="D9" s="116">
        <f>B9+15</f>
        <v>42125</v>
      </c>
      <c r="E9" s="144" t="s">
        <v>2786</v>
      </c>
      <c r="F9" s="145" t="s">
        <v>2813</v>
      </c>
      <c r="G9" s="145"/>
      <c r="H9" s="145"/>
      <c r="I9" s="145"/>
      <c r="J9" s="145"/>
      <c r="K9" s="146">
        <v>204.04</v>
      </c>
    </row>
    <row r="10" spans="1:13" s="60" customFormat="1" ht="15" x14ac:dyDescent="0.3">
      <c r="A10" s="132">
        <v>4</v>
      </c>
      <c r="B10" s="142">
        <v>42101</v>
      </c>
      <c r="C10" s="143" t="s">
        <v>2814</v>
      </c>
      <c r="D10" s="116">
        <f>B10+30</f>
        <v>42131</v>
      </c>
      <c r="E10" s="144" t="s">
        <v>2815</v>
      </c>
      <c r="F10" s="145" t="s">
        <v>2816</v>
      </c>
      <c r="G10" s="145"/>
      <c r="H10" s="145"/>
      <c r="I10" s="145"/>
      <c r="J10" s="145"/>
      <c r="K10" s="146">
        <v>236</v>
      </c>
    </row>
    <row r="11" spans="1:13" s="60" customFormat="1" ht="15" x14ac:dyDescent="0.3">
      <c r="A11" s="132">
        <v>5</v>
      </c>
      <c r="B11" s="142">
        <v>42107</v>
      </c>
      <c r="C11" s="143" t="s">
        <v>2803</v>
      </c>
      <c r="D11" s="116">
        <f>+B11+15</f>
        <v>42122</v>
      </c>
      <c r="E11" s="144" t="s">
        <v>2788</v>
      </c>
      <c r="F11" s="145" t="s">
        <v>2789</v>
      </c>
      <c r="G11" s="145"/>
      <c r="H11" s="145"/>
      <c r="I11" s="145"/>
      <c r="J11" s="145"/>
      <c r="K11" s="146">
        <v>410.64</v>
      </c>
    </row>
    <row r="12" spans="1:13" s="60" customFormat="1" ht="15" x14ac:dyDescent="0.3">
      <c r="A12" s="132">
        <v>6</v>
      </c>
      <c r="B12" s="142">
        <v>42103</v>
      </c>
      <c r="C12" s="143" t="s">
        <v>2804</v>
      </c>
      <c r="D12" s="116">
        <f>+B12</f>
        <v>42103</v>
      </c>
      <c r="E12" s="144" t="s">
        <v>2805</v>
      </c>
      <c r="F12" s="145" t="s">
        <v>2806</v>
      </c>
      <c r="G12" s="145"/>
      <c r="H12" s="145"/>
      <c r="I12" s="145"/>
      <c r="J12" s="145"/>
      <c r="K12" s="146">
        <v>10384</v>
      </c>
      <c r="L12" s="60">
        <f>K12*3%</f>
        <v>311.52</v>
      </c>
      <c r="M12" s="131">
        <f>K12-L12</f>
        <v>10072.48</v>
      </c>
    </row>
    <row r="13" spans="1:13" s="60" customFormat="1" ht="15" x14ac:dyDescent="0.3">
      <c r="A13" s="132">
        <v>7</v>
      </c>
      <c r="B13" s="150">
        <v>42129</v>
      </c>
      <c r="C13" s="151" t="s">
        <v>2782</v>
      </c>
      <c r="D13" s="155"/>
      <c r="E13" s="149"/>
      <c r="F13" s="152"/>
      <c r="G13" s="152"/>
      <c r="H13" s="152"/>
      <c r="I13" s="152"/>
      <c r="J13" s="152"/>
      <c r="K13" s="153">
        <v>-311.52</v>
      </c>
    </row>
    <row r="14" spans="1:13" s="60" customFormat="1" ht="15" x14ac:dyDescent="0.3">
      <c r="A14" s="132">
        <v>8</v>
      </c>
      <c r="B14" s="142">
        <v>42100</v>
      </c>
      <c r="C14" s="143" t="s">
        <v>2807</v>
      </c>
      <c r="D14" s="148">
        <f>+B14+15</f>
        <v>42115</v>
      </c>
      <c r="E14" s="144" t="s">
        <v>2790</v>
      </c>
      <c r="F14" s="145" t="s">
        <v>2808</v>
      </c>
      <c r="G14" s="145"/>
      <c r="H14" s="145"/>
      <c r="I14" s="145"/>
      <c r="J14" s="145"/>
      <c r="K14" s="146">
        <v>913.32</v>
      </c>
      <c r="L14" s="164">
        <f>K14*3%</f>
        <v>27.3996</v>
      </c>
      <c r="M14" s="131">
        <f>K14-L14</f>
        <v>885.92040000000009</v>
      </c>
    </row>
    <row r="15" spans="1:13" s="60" customFormat="1" ht="15" x14ac:dyDescent="0.3">
      <c r="A15" s="132">
        <v>9</v>
      </c>
      <c r="B15" s="150">
        <v>42129</v>
      </c>
      <c r="C15" s="151" t="s">
        <v>2782</v>
      </c>
      <c r="D15" s="155"/>
      <c r="E15" s="149"/>
      <c r="F15" s="152"/>
      <c r="G15" s="152"/>
      <c r="H15" s="152"/>
      <c r="I15" s="152"/>
      <c r="J15" s="152"/>
      <c r="K15" s="153">
        <v>-27.4</v>
      </c>
    </row>
    <row r="16" spans="1:13" s="60" customFormat="1" ht="15" customHeight="1" x14ac:dyDescent="0.3">
      <c r="A16" s="132">
        <v>10</v>
      </c>
      <c r="B16" s="142">
        <v>42090</v>
      </c>
      <c r="C16" s="143" t="s">
        <v>2821</v>
      </c>
      <c r="D16" s="148">
        <f>B16+15</f>
        <v>42105</v>
      </c>
      <c r="E16" s="144" t="s">
        <v>2822</v>
      </c>
      <c r="F16" s="145" t="s">
        <v>2823</v>
      </c>
      <c r="G16" s="219" t="s">
        <v>2818</v>
      </c>
      <c r="H16" s="219" t="s">
        <v>2819</v>
      </c>
      <c r="I16" s="219" t="s">
        <v>2820</v>
      </c>
      <c r="J16" s="219">
        <v>42685</v>
      </c>
      <c r="K16" s="146">
        <v>868.09</v>
      </c>
    </row>
    <row r="17" spans="1:13" s="60" customFormat="1" ht="15" customHeight="1" x14ac:dyDescent="0.3">
      <c r="A17" s="132">
        <v>11</v>
      </c>
      <c r="B17" s="142">
        <v>42090</v>
      </c>
      <c r="C17" s="143" t="s">
        <v>2825</v>
      </c>
      <c r="D17" s="148">
        <f>B17+15</f>
        <v>42105</v>
      </c>
      <c r="E17" s="144" t="s">
        <v>2822</v>
      </c>
      <c r="F17" s="145" t="s">
        <v>2824</v>
      </c>
      <c r="G17" s="220"/>
      <c r="H17" s="220"/>
      <c r="I17" s="220"/>
      <c r="J17" s="220"/>
      <c r="K17" s="146">
        <v>295</v>
      </c>
    </row>
    <row r="18" spans="1:13" s="60" customFormat="1" ht="15" customHeight="1" x14ac:dyDescent="0.3">
      <c r="A18" s="132">
        <v>12</v>
      </c>
      <c r="B18" s="142">
        <v>42088</v>
      </c>
      <c r="C18" s="143" t="s">
        <v>2826</v>
      </c>
      <c r="D18" s="148">
        <f>B18+15</f>
        <v>42103</v>
      </c>
      <c r="E18" s="144" t="s">
        <v>2827</v>
      </c>
      <c r="F18" s="145" t="s">
        <v>2828</v>
      </c>
      <c r="G18" s="220"/>
      <c r="H18" s="220"/>
      <c r="I18" s="220"/>
      <c r="J18" s="220"/>
      <c r="K18" s="146">
        <v>761.1</v>
      </c>
      <c r="L18" s="164">
        <f>K18*3%</f>
        <v>22.832999999999998</v>
      </c>
      <c r="M18" s="131">
        <f>K18-L18</f>
        <v>738.26700000000005</v>
      </c>
    </row>
    <row r="19" spans="1:13" s="60" customFormat="1" ht="15" x14ac:dyDescent="0.3">
      <c r="A19" s="132">
        <v>13</v>
      </c>
      <c r="B19" s="150">
        <v>42129</v>
      </c>
      <c r="C19" s="151" t="s">
        <v>2782</v>
      </c>
      <c r="D19" s="155"/>
      <c r="E19" s="149"/>
      <c r="F19" s="152"/>
      <c r="G19" s="221"/>
      <c r="H19" s="221"/>
      <c r="I19" s="221"/>
      <c r="J19" s="221"/>
      <c r="K19" s="153">
        <v>-22.83</v>
      </c>
    </row>
    <row r="20" spans="1:13" s="60" customFormat="1" ht="15" customHeight="1" x14ac:dyDescent="0.3">
      <c r="A20" s="132">
        <v>14</v>
      </c>
      <c r="B20" s="142">
        <v>42083</v>
      </c>
      <c r="C20" s="143" t="s">
        <v>2832</v>
      </c>
      <c r="D20" s="148">
        <f t="shared" ref="D20:D25" si="0">B20+15</f>
        <v>42098</v>
      </c>
      <c r="E20" s="144" t="s">
        <v>2833</v>
      </c>
      <c r="F20" s="145" t="s">
        <v>2834</v>
      </c>
      <c r="G20" s="219" t="s">
        <v>2829</v>
      </c>
      <c r="H20" s="219" t="s">
        <v>2830</v>
      </c>
      <c r="I20" s="219" t="s">
        <v>2831</v>
      </c>
      <c r="J20" s="219">
        <v>42551</v>
      </c>
      <c r="K20" s="146">
        <v>27423.200000000001</v>
      </c>
    </row>
    <row r="21" spans="1:13" s="60" customFormat="1" ht="15" customHeight="1" x14ac:dyDescent="0.3">
      <c r="A21" s="132">
        <v>15</v>
      </c>
      <c r="B21" s="142">
        <v>42091</v>
      </c>
      <c r="C21" s="143" t="s">
        <v>2835</v>
      </c>
      <c r="D21" s="148">
        <f t="shared" si="0"/>
        <v>42106</v>
      </c>
      <c r="E21" s="144" t="s">
        <v>2836</v>
      </c>
      <c r="F21" s="145" t="s">
        <v>2837</v>
      </c>
      <c r="G21" s="220"/>
      <c r="H21" s="220"/>
      <c r="I21" s="220"/>
      <c r="J21" s="220"/>
      <c r="K21" s="146">
        <v>5616.8</v>
      </c>
    </row>
    <row r="22" spans="1:13" s="60" customFormat="1" ht="15" customHeight="1" x14ac:dyDescent="0.3">
      <c r="A22" s="132">
        <v>16</v>
      </c>
      <c r="B22" s="185">
        <v>42118</v>
      </c>
      <c r="C22" s="186" t="s">
        <v>2817</v>
      </c>
      <c r="D22" s="187"/>
      <c r="E22" s="188"/>
      <c r="F22" s="189"/>
      <c r="G22" s="221"/>
      <c r="H22" s="221"/>
      <c r="I22" s="221"/>
      <c r="J22" s="221"/>
      <c r="K22" s="190">
        <v>-224.67</v>
      </c>
    </row>
    <row r="23" spans="1:13" s="60" customFormat="1" ht="15" customHeight="1" x14ac:dyDescent="0.3">
      <c r="A23" s="132">
        <v>17</v>
      </c>
      <c r="B23" s="223">
        <v>42104</v>
      </c>
      <c r="C23" s="219" t="s">
        <v>2838</v>
      </c>
      <c r="D23" s="227">
        <f t="shared" si="0"/>
        <v>42119</v>
      </c>
      <c r="E23" s="225" t="s">
        <v>2839</v>
      </c>
      <c r="F23" s="145" t="s">
        <v>2840</v>
      </c>
      <c r="G23" s="219" t="s">
        <v>2844</v>
      </c>
      <c r="H23" s="219" t="s">
        <v>2845</v>
      </c>
      <c r="I23" s="219" t="s">
        <v>2846</v>
      </c>
      <c r="J23" s="219">
        <v>42641</v>
      </c>
      <c r="K23" s="146">
        <v>354</v>
      </c>
    </row>
    <row r="24" spans="1:13" s="60" customFormat="1" ht="15" customHeight="1" x14ac:dyDescent="0.3">
      <c r="A24" s="132">
        <v>18</v>
      </c>
      <c r="B24" s="224"/>
      <c r="C24" s="221"/>
      <c r="D24" s="228"/>
      <c r="E24" s="226"/>
      <c r="F24" s="145" t="s">
        <v>2841</v>
      </c>
      <c r="G24" s="220"/>
      <c r="H24" s="220"/>
      <c r="I24" s="220"/>
      <c r="J24" s="220"/>
      <c r="K24" s="146">
        <v>424.8</v>
      </c>
    </row>
    <row r="25" spans="1:13" s="60" customFormat="1" ht="15" customHeight="1" x14ac:dyDescent="0.3">
      <c r="A25" s="132">
        <v>19</v>
      </c>
      <c r="B25" s="142">
        <v>42103</v>
      </c>
      <c r="C25" s="143" t="s">
        <v>2842</v>
      </c>
      <c r="D25" s="148">
        <f t="shared" si="0"/>
        <v>42118</v>
      </c>
      <c r="E25" s="144" t="s">
        <v>2836</v>
      </c>
      <c r="F25" s="145" t="s">
        <v>2843</v>
      </c>
      <c r="G25" s="220"/>
      <c r="H25" s="220"/>
      <c r="I25" s="220"/>
      <c r="J25" s="220"/>
      <c r="K25" s="146">
        <v>401.2</v>
      </c>
    </row>
    <row r="26" spans="1:13" s="60" customFormat="1" ht="15" customHeight="1" x14ac:dyDescent="0.3">
      <c r="A26" s="132">
        <v>20</v>
      </c>
      <c r="B26" s="185">
        <v>42118</v>
      </c>
      <c r="C26" s="186" t="s">
        <v>2817</v>
      </c>
      <c r="D26" s="187"/>
      <c r="E26" s="188"/>
      <c r="F26" s="189"/>
      <c r="G26" s="221"/>
      <c r="H26" s="221"/>
      <c r="I26" s="221"/>
      <c r="J26" s="221"/>
      <c r="K26" s="190">
        <v>-16.05</v>
      </c>
    </row>
    <row r="27" spans="1:13" ht="15" customHeight="1" x14ac:dyDescent="0.3">
      <c r="B27" s="118"/>
      <c r="C27" s="118"/>
      <c r="D27" s="118"/>
      <c r="E27" s="118"/>
      <c r="I27" s="217" t="s">
        <v>2781</v>
      </c>
      <c r="J27" s="218"/>
      <c r="K27" s="159">
        <f>SUM(K7:K26)</f>
        <v>48321.25</v>
      </c>
    </row>
    <row r="28" spans="1:13" ht="15" customHeight="1" x14ac:dyDescent="0.2"/>
    <row r="29" spans="1:13" ht="15" customHeight="1" x14ac:dyDescent="0.2"/>
    <row r="30" spans="1:13" ht="15" customHeight="1" x14ac:dyDescent="0.2"/>
    <row r="31" spans="1:13" ht="15" customHeight="1" x14ac:dyDescent="0.2"/>
    <row r="32" spans="1:13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  <row r="41" ht="15" customHeight="1" x14ac:dyDescent="0.2"/>
    <row r="42" ht="15" customHeight="1" x14ac:dyDescent="0.2"/>
    <row r="43" ht="15" customHeight="1" x14ac:dyDescent="0.2"/>
    <row r="44" ht="15" customHeight="1" x14ac:dyDescent="0.2"/>
    <row r="45" ht="15" customHeight="1" x14ac:dyDescent="0.2"/>
    <row r="46" ht="15" customHeight="1" x14ac:dyDescent="0.2"/>
    <row r="47" ht="15" customHeight="1" x14ac:dyDescent="0.2"/>
    <row r="48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</sheetData>
  <sheetProtection selectLockedCells="1" selectUnlockedCells="1"/>
  <mergeCells count="19">
    <mergeCell ref="F1:K1"/>
    <mergeCell ref="A4:K4"/>
    <mergeCell ref="B23:B24"/>
    <mergeCell ref="C23:C24"/>
    <mergeCell ref="E23:E24"/>
    <mergeCell ref="D23:D24"/>
    <mergeCell ref="I27:J27"/>
    <mergeCell ref="J16:J19"/>
    <mergeCell ref="I16:I19"/>
    <mergeCell ref="H16:H19"/>
    <mergeCell ref="G16:G19"/>
    <mergeCell ref="J20:J22"/>
    <mergeCell ref="I20:I22"/>
    <mergeCell ref="H20:H22"/>
    <mergeCell ref="G20:G22"/>
    <mergeCell ref="J23:J26"/>
    <mergeCell ref="I23:I26"/>
    <mergeCell ref="H23:H26"/>
    <mergeCell ref="G23:G26"/>
  </mergeCells>
  <printOptions horizontalCentered="1"/>
  <pageMargins left="0.15748031496062992" right="0" top="0.51181102362204722" bottom="0.35433070866141736" header="0.51181102362204722" footer="0.27559055118110237"/>
  <pageSetup paperSize="9" scale="63" firstPageNumber="0" orientation="landscape" horizontalDpi="300" verticalDpi="300" r:id="rId1"/>
  <headerFooter alignWithMargins="0"/>
  <ignoredErrors>
    <ignoredError sqref="D12" formula="1"/>
  </ignoredErrors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7">
    <pageSetUpPr fitToPage="1"/>
  </sheetPr>
  <dimension ref="A1:M29"/>
  <sheetViews>
    <sheetView topLeftCell="A4" workbookViewId="0">
      <selection activeCell="C34" sqref="C34"/>
    </sheetView>
  </sheetViews>
  <sheetFormatPr baseColWidth="10" defaultColWidth="10.7109375" defaultRowHeight="12.75" x14ac:dyDescent="0.2"/>
  <cols>
    <col min="1" max="1" width="4.5703125" customWidth="1"/>
    <col min="2" max="2" width="14.42578125" customWidth="1"/>
    <col min="3" max="3" width="18" customWidth="1"/>
    <col min="4" max="4" width="14.7109375" customWidth="1"/>
    <col min="5" max="5" width="29.140625" customWidth="1"/>
    <col min="6" max="6" width="48" customWidth="1"/>
    <col min="7" max="7" width="17.42578125" customWidth="1"/>
    <col min="8" max="8" width="12.42578125" customWidth="1"/>
    <col min="9" max="9" width="13.42578125" customWidth="1"/>
    <col min="10" max="10" width="9.28515625" customWidth="1"/>
    <col min="11" max="11" width="14.85546875" bestFit="1" customWidth="1"/>
  </cols>
  <sheetData>
    <row r="1" spans="1:13" ht="15" customHeight="1" x14ac:dyDescent="0.3">
      <c r="A1" s="1"/>
      <c r="B1" s="2"/>
      <c r="C1" s="3"/>
      <c r="D1" s="4"/>
      <c r="E1" s="5"/>
      <c r="F1" s="222" t="s">
        <v>0</v>
      </c>
      <c r="G1" s="222"/>
      <c r="H1" s="222"/>
      <c r="I1" s="222"/>
      <c r="J1" s="222"/>
      <c r="K1" s="222"/>
    </row>
    <row r="2" spans="1:13" ht="18.75" x14ac:dyDescent="0.3">
      <c r="A2" s="120" t="s">
        <v>1</v>
      </c>
      <c r="B2" s="7"/>
      <c r="C2" s="3"/>
      <c r="D2" s="4"/>
      <c r="E2" s="5"/>
    </row>
    <row r="3" spans="1:13" ht="15" x14ac:dyDescent="0.3">
      <c r="A3" s="1"/>
      <c r="B3" s="2"/>
      <c r="C3" s="3"/>
      <c r="D3" s="4"/>
      <c r="E3" s="5"/>
      <c r="F3" s="5"/>
      <c r="G3" s="5"/>
      <c r="H3" s="5"/>
      <c r="I3" s="5"/>
      <c r="J3" s="5"/>
      <c r="K3" s="5"/>
    </row>
    <row r="4" spans="1:13" ht="15" x14ac:dyDescent="0.3">
      <c r="A4" s="1"/>
      <c r="B4" s="2"/>
      <c r="C4" s="3"/>
      <c r="D4" s="4"/>
      <c r="E4" s="5"/>
      <c r="F4" s="5"/>
      <c r="G4" s="5"/>
      <c r="H4" s="5"/>
      <c r="I4" s="5"/>
      <c r="J4" s="5"/>
      <c r="K4" s="5"/>
    </row>
    <row r="5" spans="1:13" ht="18" x14ac:dyDescent="0.25">
      <c r="A5" s="208" t="s">
        <v>2793</v>
      </c>
      <c r="B5" s="208"/>
      <c r="C5" s="208"/>
      <c r="D5" s="208"/>
      <c r="E5" s="208"/>
      <c r="F5" s="208"/>
      <c r="G5" s="208"/>
      <c r="H5" s="208"/>
      <c r="I5" s="208"/>
      <c r="J5" s="208"/>
      <c r="K5" s="208"/>
    </row>
    <row r="6" spans="1:13" ht="15" x14ac:dyDescent="0.3">
      <c r="A6" s="1"/>
      <c r="B6" s="9"/>
      <c r="C6" s="9"/>
      <c r="D6" s="9"/>
      <c r="E6" s="9"/>
      <c r="F6" s="10"/>
      <c r="G6" s="10"/>
      <c r="H6" s="10"/>
      <c r="I6" s="10"/>
      <c r="J6" s="10"/>
      <c r="K6" s="121"/>
    </row>
    <row r="7" spans="1:13" x14ac:dyDescent="0.2">
      <c r="A7" s="128" t="s">
        <v>2</v>
      </c>
      <c r="B7" s="128" t="s">
        <v>3</v>
      </c>
      <c r="C7" s="126" t="s">
        <v>4</v>
      </c>
      <c r="D7" s="129" t="s">
        <v>5</v>
      </c>
      <c r="E7" s="126" t="s">
        <v>6</v>
      </c>
      <c r="F7" s="126" t="s">
        <v>7</v>
      </c>
      <c r="G7" s="126" t="s">
        <v>2783</v>
      </c>
      <c r="H7" s="126" t="s">
        <v>2785</v>
      </c>
      <c r="I7" s="126" t="s">
        <v>158</v>
      </c>
      <c r="J7" s="126" t="s">
        <v>2784</v>
      </c>
      <c r="K7" s="126" t="s">
        <v>8</v>
      </c>
    </row>
    <row r="8" spans="1:13" s="60" customFormat="1" ht="15.75" customHeight="1" x14ac:dyDescent="0.3">
      <c r="A8" s="130">
        <v>1</v>
      </c>
      <c r="B8" s="142">
        <v>42109</v>
      </c>
      <c r="C8" s="143" t="s">
        <v>2809</v>
      </c>
      <c r="D8" s="148">
        <f>+B8+15</f>
        <v>42124</v>
      </c>
      <c r="E8" s="144" t="s">
        <v>2810</v>
      </c>
      <c r="F8" s="145" t="s">
        <v>18</v>
      </c>
      <c r="G8" s="145"/>
      <c r="H8" s="145"/>
      <c r="I8" s="145"/>
      <c r="J8" s="145"/>
      <c r="K8" s="147">
        <v>317.54000000000002</v>
      </c>
      <c r="L8" s="164">
        <f>K8*3%</f>
        <v>9.5262000000000011</v>
      </c>
      <c r="M8" s="131">
        <f>K8-L8</f>
        <v>308.0138</v>
      </c>
    </row>
    <row r="9" spans="1:13" s="60" customFormat="1" ht="15" customHeight="1" x14ac:dyDescent="0.3">
      <c r="A9" s="130">
        <v>2</v>
      </c>
      <c r="B9" s="150">
        <v>42129</v>
      </c>
      <c r="C9" s="151" t="s">
        <v>2782</v>
      </c>
      <c r="D9" s="155"/>
      <c r="E9" s="149"/>
      <c r="F9" s="152"/>
      <c r="G9" s="152"/>
      <c r="H9" s="152"/>
      <c r="I9" s="152"/>
      <c r="J9" s="152"/>
      <c r="K9" s="169">
        <v>-9.5299999999999994</v>
      </c>
    </row>
    <row r="10" spans="1:13" s="60" customFormat="1" ht="15" customHeight="1" x14ac:dyDescent="0.3">
      <c r="A10" s="130">
        <v>3</v>
      </c>
      <c r="B10" s="142">
        <v>42101</v>
      </c>
      <c r="C10" s="143" t="s">
        <v>2811</v>
      </c>
      <c r="D10" s="148">
        <f t="shared" ref="D10:D28" si="0">+B10+15</f>
        <v>42116</v>
      </c>
      <c r="E10" s="144" t="s">
        <v>2791</v>
      </c>
      <c r="F10" s="145" t="s">
        <v>1873</v>
      </c>
      <c r="G10" s="145"/>
      <c r="H10" s="145"/>
      <c r="I10" s="145"/>
      <c r="J10" s="145"/>
      <c r="K10" s="147">
        <v>562.62</v>
      </c>
    </row>
    <row r="11" spans="1:13" s="60" customFormat="1" ht="15" customHeight="1" x14ac:dyDescent="0.3">
      <c r="A11" s="130">
        <v>4</v>
      </c>
      <c r="B11" s="142">
        <v>42100</v>
      </c>
      <c r="C11" s="143" t="s">
        <v>2847</v>
      </c>
      <c r="D11" s="148">
        <f t="shared" si="0"/>
        <v>42115</v>
      </c>
      <c r="E11" s="144" t="s">
        <v>2848</v>
      </c>
      <c r="F11" s="145" t="s">
        <v>2849</v>
      </c>
      <c r="G11" s="145"/>
      <c r="H11" s="145"/>
      <c r="I11" s="145"/>
      <c r="J11" s="145"/>
      <c r="K11" s="147">
        <v>7.87</v>
      </c>
    </row>
    <row r="12" spans="1:13" s="60" customFormat="1" ht="15" customHeight="1" x14ac:dyDescent="0.3">
      <c r="A12" s="130">
        <v>5</v>
      </c>
      <c r="B12" s="142">
        <v>42100</v>
      </c>
      <c r="C12" s="143" t="s">
        <v>2850</v>
      </c>
      <c r="D12" s="148">
        <f t="shared" si="0"/>
        <v>42115</v>
      </c>
      <c r="E12" s="144" t="s">
        <v>2851</v>
      </c>
      <c r="F12" s="145" t="s">
        <v>2852</v>
      </c>
      <c r="G12" s="145"/>
      <c r="H12" s="145"/>
      <c r="I12" s="145"/>
      <c r="J12" s="145"/>
      <c r="K12" s="147">
        <v>306.8</v>
      </c>
    </row>
    <row r="13" spans="1:13" s="60" customFormat="1" ht="15" customHeight="1" x14ac:dyDescent="0.3">
      <c r="A13" s="130">
        <v>6</v>
      </c>
      <c r="B13" s="185">
        <v>42118</v>
      </c>
      <c r="C13" s="186" t="s">
        <v>2817</v>
      </c>
      <c r="D13" s="187"/>
      <c r="E13" s="188"/>
      <c r="F13" s="189"/>
      <c r="G13" s="189"/>
      <c r="H13" s="189"/>
      <c r="I13" s="189"/>
      <c r="J13" s="189"/>
      <c r="K13" s="191">
        <v>-30.68</v>
      </c>
    </row>
    <row r="14" spans="1:13" s="60" customFormat="1" ht="15" customHeight="1" x14ac:dyDescent="0.3">
      <c r="A14" s="130">
        <v>7</v>
      </c>
      <c r="B14" s="142">
        <v>42090</v>
      </c>
      <c r="C14" s="143" t="s">
        <v>2853</v>
      </c>
      <c r="D14" s="148">
        <f t="shared" si="0"/>
        <v>42105</v>
      </c>
      <c r="E14" s="144" t="s">
        <v>2822</v>
      </c>
      <c r="F14" s="145" t="s">
        <v>2854</v>
      </c>
      <c r="G14" s="219" t="s">
        <v>2864</v>
      </c>
      <c r="H14" s="219" t="s">
        <v>2819</v>
      </c>
      <c r="I14" s="219" t="s">
        <v>2820</v>
      </c>
      <c r="J14" s="219">
        <v>42685</v>
      </c>
      <c r="K14" s="147">
        <v>122.96</v>
      </c>
    </row>
    <row r="15" spans="1:13" s="60" customFormat="1" ht="15" customHeight="1" x14ac:dyDescent="0.3">
      <c r="A15" s="130">
        <v>8</v>
      </c>
      <c r="B15" s="142">
        <v>42088</v>
      </c>
      <c r="C15" s="143" t="s">
        <v>2855</v>
      </c>
      <c r="D15" s="148">
        <f t="shared" si="0"/>
        <v>42103</v>
      </c>
      <c r="E15" s="144" t="s">
        <v>2827</v>
      </c>
      <c r="F15" s="145" t="s">
        <v>2856</v>
      </c>
      <c r="G15" s="220"/>
      <c r="H15" s="220"/>
      <c r="I15" s="220"/>
      <c r="J15" s="220"/>
      <c r="K15" s="147">
        <v>48.83</v>
      </c>
    </row>
    <row r="16" spans="1:13" s="60" customFormat="1" ht="15" customHeight="1" x14ac:dyDescent="0.3">
      <c r="A16" s="130">
        <v>9</v>
      </c>
      <c r="B16" s="142">
        <v>42088</v>
      </c>
      <c r="C16" s="143" t="s">
        <v>2857</v>
      </c>
      <c r="D16" s="148">
        <f t="shared" si="0"/>
        <v>42103</v>
      </c>
      <c r="E16" s="144" t="s">
        <v>2827</v>
      </c>
      <c r="F16" s="145" t="s">
        <v>2858</v>
      </c>
      <c r="G16" s="220"/>
      <c r="H16" s="220"/>
      <c r="I16" s="220"/>
      <c r="J16" s="220"/>
      <c r="K16" s="147">
        <v>188.8</v>
      </c>
      <c r="L16" s="164">
        <f>K16*3%</f>
        <v>5.6639999999999997</v>
      </c>
      <c r="M16" s="131">
        <f>K16-L16</f>
        <v>183.13600000000002</v>
      </c>
    </row>
    <row r="17" spans="1:13" s="60" customFormat="1" ht="15" customHeight="1" x14ac:dyDescent="0.3">
      <c r="A17" s="130">
        <v>10</v>
      </c>
      <c r="B17" s="150">
        <v>42129</v>
      </c>
      <c r="C17" s="151" t="s">
        <v>2782</v>
      </c>
      <c r="D17" s="155"/>
      <c r="E17" s="149"/>
      <c r="F17" s="152"/>
      <c r="G17" s="221"/>
      <c r="H17" s="221"/>
      <c r="I17" s="221"/>
      <c r="J17" s="221"/>
      <c r="K17" s="169">
        <v>-5.66</v>
      </c>
    </row>
    <row r="18" spans="1:13" s="60" customFormat="1" ht="15" customHeight="1" x14ac:dyDescent="0.3">
      <c r="A18" s="130">
        <v>11</v>
      </c>
      <c r="B18" s="142">
        <v>42088</v>
      </c>
      <c r="C18" s="143" t="s">
        <v>2859</v>
      </c>
      <c r="D18" s="148">
        <f t="shared" si="0"/>
        <v>42103</v>
      </c>
      <c r="E18" s="144" t="s">
        <v>2839</v>
      </c>
      <c r="F18" s="145" t="s">
        <v>2854</v>
      </c>
      <c r="G18" s="219" t="s">
        <v>2829</v>
      </c>
      <c r="H18" s="219" t="s">
        <v>2830</v>
      </c>
      <c r="I18" s="219" t="s">
        <v>2831</v>
      </c>
      <c r="J18" s="219">
        <v>42551</v>
      </c>
      <c r="K18" s="147">
        <v>1387.31</v>
      </c>
      <c r="L18" s="164">
        <f>K18*3%</f>
        <v>41.619299999999996</v>
      </c>
      <c r="M18" s="131">
        <f>K18-L18</f>
        <v>1345.6906999999999</v>
      </c>
    </row>
    <row r="19" spans="1:13" s="60" customFormat="1" ht="15" customHeight="1" x14ac:dyDescent="0.3">
      <c r="A19" s="130">
        <v>12</v>
      </c>
      <c r="B19" s="150">
        <v>42129</v>
      </c>
      <c r="C19" s="151" t="s">
        <v>2782</v>
      </c>
      <c r="D19" s="155"/>
      <c r="E19" s="149"/>
      <c r="F19" s="152"/>
      <c r="G19" s="220"/>
      <c r="H19" s="220"/>
      <c r="I19" s="220"/>
      <c r="J19" s="220"/>
      <c r="K19" s="169">
        <v>-41.62</v>
      </c>
    </row>
    <row r="20" spans="1:13" s="60" customFormat="1" ht="15" customHeight="1" x14ac:dyDescent="0.3">
      <c r="A20" s="130">
        <v>13</v>
      </c>
      <c r="B20" s="142">
        <v>42076</v>
      </c>
      <c r="C20" s="143" t="s">
        <v>2860</v>
      </c>
      <c r="D20" s="148">
        <f t="shared" si="0"/>
        <v>42091</v>
      </c>
      <c r="E20" s="144" t="s">
        <v>2861</v>
      </c>
      <c r="F20" s="145" t="s">
        <v>2862</v>
      </c>
      <c r="G20" s="220"/>
      <c r="H20" s="220"/>
      <c r="I20" s="220"/>
      <c r="J20" s="220"/>
      <c r="K20" s="147">
        <v>23.6</v>
      </c>
    </row>
    <row r="21" spans="1:13" s="60" customFormat="1" ht="15" customHeight="1" x14ac:dyDescent="0.3">
      <c r="A21" s="130">
        <v>14</v>
      </c>
      <c r="B21" s="142">
        <v>42076</v>
      </c>
      <c r="C21" s="143" t="s">
        <v>2863</v>
      </c>
      <c r="D21" s="148">
        <f t="shared" si="0"/>
        <v>42091</v>
      </c>
      <c r="E21" s="144" t="s">
        <v>2861</v>
      </c>
      <c r="F21" s="145" t="s">
        <v>2856</v>
      </c>
      <c r="G21" s="221"/>
      <c r="H21" s="221"/>
      <c r="I21" s="221"/>
      <c r="J21" s="221"/>
      <c r="K21" s="147">
        <v>27300</v>
      </c>
    </row>
    <row r="22" spans="1:13" s="60" customFormat="1" ht="15" customHeight="1" x14ac:dyDescent="0.3">
      <c r="A22" s="130">
        <v>15</v>
      </c>
      <c r="B22" s="142">
        <v>42104</v>
      </c>
      <c r="C22" s="143" t="s">
        <v>2865</v>
      </c>
      <c r="D22" s="148">
        <f t="shared" si="0"/>
        <v>42119</v>
      </c>
      <c r="E22" s="144" t="s">
        <v>2839</v>
      </c>
      <c r="F22" s="145" t="s">
        <v>2854</v>
      </c>
      <c r="G22" s="180"/>
      <c r="H22" s="180"/>
      <c r="I22" s="180"/>
      <c r="J22" s="180"/>
      <c r="K22" s="147">
        <v>319.04000000000002</v>
      </c>
      <c r="L22" s="164">
        <f>K22*3%</f>
        <v>9.571200000000001</v>
      </c>
      <c r="M22" s="131">
        <f>K22-L22</f>
        <v>309.46880000000004</v>
      </c>
    </row>
    <row r="23" spans="1:13" s="60" customFormat="1" ht="15" customHeight="1" x14ac:dyDescent="0.3">
      <c r="A23" s="130">
        <v>16</v>
      </c>
      <c r="B23" s="150">
        <v>42129</v>
      </c>
      <c r="C23" s="151" t="s">
        <v>2782</v>
      </c>
      <c r="D23" s="155"/>
      <c r="E23" s="149"/>
      <c r="F23" s="152"/>
      <c r="G23" s="180"/>
      <c r="H23" s="180"/>
      <c r="I23" s="180"/>
      <c r="J23" s="180"/>
      <c r="K23" s="169">
        <v>-9.57</v>
      </c>
    </row>
    <row r="24" spans="1:13" s="60" customFormat="1" ht="15" customHeight="1" x14ac:dyDescent="0.3">
      <c r="A24" s="130">
        <v>17</v>
      </c>
      <c r="B24" s="231">
        <v>42104</v>
      </c>
      <c r="C24" s="234" t="s">
        <v>2866</v>
      </c>
      <c r="D24" s="148">
        <f t="shared" si="0"/>
        <v>42119</v>
      </c>
      <c r="E24" s="225" t="s">
        <v>2839</v>
      </c>
      <c r="F24" s="145" t="s">
        <v>2867</v>
      </c>
      <c r="G24" s="180"/>
      <c r="H24" s="180"/>
      <c r="I24" s="180"/>
      <c r="J24" s="180"/>
      <c r="K24" s="147">
        <v>123.9</v>
      </c>
    </row>
    <row r="25" spans="1:13" s="60" customFormat="1" ht="15" customHeight="1" x14ac:dyDescent="0.3">
      <c r="A25" s="130">
        <v>18</v>
      </c>
      <c r="B25" s="232"/>
      <c r="C25" s="235"/>
      <c r="D25" s="148">
        <f t="shared" si="0"/>
        <v>15</v>
      </c>
      <c r="E25" s="230"/>
      <c r="F25" s="145" t="s">
        <v>2868</v>
      </c>
      <c r="G25" s="180"/>
      <c r="H25" s="180"/>
      <c r="I25" s="180"/>
      <c r="J25" s="180"/>
      <c r="K25" s="147">
        <v>208.86</v>
      </c>
    </row>
    <row r="26" spans="1:13" s="60" customFormat="1" ht="15" customHeight="1" x14ac:dyDescent="0.3">
      <c r="A26" s="130">
        <v>19</v>
      </c>
      <c r="B26" s="232"/>
      <c r="C26" s="235"/>
      <c r="D26" s="148">
        <f t="shared" si="0"/>
        <v>15</v>
      </c>
      <c r="E26" s="230"/>
      <c r="F26" s="145" t="s">
        <v>2870</v>
      </c>
      <c r="G26" s="180"/>
      <c r="H26" s="180"/>
      <c r="I26" s="180"/>
      <c r="J26" s="180"/>
      <c r="K26" s="147">
        <v>38.35</v>
      </c>
    </row>
    <row r="27" spans="1:13" s="60" customFormat="1" ht="15" customHeight="1" x14ac:dyDescent="0.3">
      <c r="A27" s="130">
        <v>20</v>
      </c>
      <c r="B27" s="233"/>
      <c r="C27" s="236"/>
      <c r="D27" s="148">
        <f t="shared" si="0"/>
        <v>15</v>
      </c>
      <c r="E27" s="226"/>
      <c r="F27" s="145" t="s">
        <v>2869</v>
      </c>
      <c r="G27" s="180"/>
      <c r="H27" s="180"/>
      <c r="I27" s="180"/>
      <c r="J27" s="180"/>
      <c r="K27" s="147">
        <v>176.91</v>
      </c>
    </row>
    <row r="28" spans="1:13" s="60" customFormat="1" ht="15" customHeight="1" x14ac:dyDescent="0.3">
      <c r="A28" s="130">
        <v>21</v>
      </c>
      <c r="B28" s="142">
        <v>42095</v>
      </c>
      <c r="C28" s="143" t="s">
        <v>2871</v>
      </c>
      <c r="D28" s="148">
        <f t="shared" si="0"/>
        <v>42110</v>
      </c>
      <c r="E28" s="144" t="s">
        <v>2872</v>
      </c>
      <c r="F28" s="145" t="s">
        <v>2856</v>
      </c>
      <c r="G28" s="180"/>
      <c r="H28" s="180"/>
      <c r="I28" s="180"/>
      <c r="J28" s="180"/>
      <c r="K28" s="147">
        <v>2200</v>
      </c>
    </row>
    <row r="29" spans="1:13" ht="15" x14ac:dyDescent="0.25">
      <c r="A29" s="22"/>
      <c r="C29" s="124"/>
      <c r="D29" s="124"/>
      <c r="I29" s="229" t="s">
        <v>24</v>
      </c>
      <c r="J29" s="229"/>
      <c r="K29" s="127">
        <f>SUM(K8:K28)</f>
        <v>33236.33</v>
      </c>
    </row>
  </sheetData>
  <sheetProtection selectLockedCells="1" selectUnlockedCells="1"/>
  <mergeCells count="14">
    <mergeCell ref="I29:J29"/>
    <mergeCell ref="F1:K1"/>
    <mergeCell ref="A5:K5"/>
    <mergeCell ref="J14:J17"/>
    <mergeCell ref="I14:I17"/>
    <mergeCell ref="H14:H17"/>
    <mergeCell ref="G14:G17"/>
    <mergeCell ref="J18:J21"/>
    <mergeCell ref="I18:I21"/>
    <mergeCell ref="H18:H21"/>
    <mergeCell ref="G18:G21"/>
    <mergeCell ref="E24:E27"/>
    <mergeCell ref="B24:B27"/>
    <mergeCell ref="C24:C27"/>
  </mergeCells>
  <pageMargins left="0.31496062992125984" right="0.31496062992125984" top="0.74803149606299213" bottom="0.74803149606299213" header="0.51181102362204722" footer="0.51181102362204722"/>
  <pageSetup paperSize="9" scale="66" firstPageNumber="0" orientation="landscape" horizontalDpi="300" verticalDpi="300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8">
    <pageSetUpPr fitToPage="1"/>
  </sheetPr>
  <dimension ref="A1:M18"/>
  <sheetViews>
    <sheetView workbookViewId="0">
      <selection activeCell="G6" sqref="G6:J6"/>
    </sheetView>
  </sheetViews>
  <sheetFormatPr baseColWidth="10" defaultColWidth="10.7109375" defaultRowHeight="12.75" x14ac:dyDescent="0.2"/>
  <cols>
    <col min="1" max="1" width="4.140625" customWidth="1"/>
    <col min="2" max="2" width="14.7109375" customWidth="1"/>
    <col min="3" max="3" width="16.42578125" customWidth="1"/>
    <col min="4" max="4" width="16" customWidth="1"/>
    <col min="5" max="5" width="31.85546875" customWidth="1"/>
    <col min="6" max="6" width="43.85546875" customWidth="1"/>
    <col min="7" max="7" width="15.5703125" customWidth="1"/>
    <col min="8" max="8" width="11" customWidth="1"/>
    <col min="9" max="9" width="13.28515625" customWidth="1"/>
    <col min="10" max="10" width="12" customWidth="1"/>
    <col min="11" max="11" width="14.42578125" customWidth="1"/>
    <col min="12" max="12" width="9.42578125" customWidth="1"/>
    <col min="13" max="13" width="8.5703125" customWidth="1"/>
  </cols>
  <sheetData>
    <row r="1" spans="1:13" ht="15" customHeight="1" x14ac:dyDescent="0.3">
      <c r="A1" s="1"/>
      <c r="B1" s="2"/>
      <c r="C1" s="3"/>
      <c r="D1" s="4"/>
      <c r="E1" s="5"/>
      <c r="F1" s="222" t="s">
        <v>0</v>
      </c>
      <c r="G1" s="222"/>
      <c r="H1" s="222"/>
      <c r="I1" s="222"/>
      <c r="J1" s="222"/>
      <c r="K1" s="222"/>
    </row>
    <row r="2" spans="1:13" ht="18.75" x14ac:dyDescent="0.3">
      <c r="A2" s="111" t="s">
        <v>1</v>
      </c>
      <c r="B2" s="7"/>
      <c r="C2" s="3"/>
      <c r="D2" s="4"/>
      <c r="E2" s="5"/>
      <c r="F2" s="5"/>
      <c r="G2" s="5"/>
      <c r="H2" s="5"/>
      <c r="I2" s="5"/>
      <c r="J2" s="5"/>
    </row>
    <row r="3" spans="1:13" ht="15" x14ac:dyDescent="0.3">
      <c r="A3" s="1"/>
      <c r="B3" s="2"/>
      <c r="C3" s="3"/>
      <c r="D3" s="4"/>
      <c r="E3" s="5"/>
      <c r="F3" s="5"/>
      <c r="G3" s="5"/>
      <c r="H3" s="5"/>
      <c r="I3" s="5"/>
      <c r="J3" s="5"/>
    </row>
    <row r="4" spans="1:13" ht="18" x14ac:dyDescent="0.25">
      <c r="A4" s="208" t="s">
        <v>2794</v>
      </c>
      <c r="B4" s="208"/>
      <c r="C4" s="208"/>
      <c r="D4" s="208"/>
      <c r="E4" s="208"/>
      <c r="F4" s="208"/>
      <c r="G4" s="208"/>
      <c r="H4" s="208"/>
      <c r="I4" s="208"/>
      <c r="J4" s="208"/>
      <c r="K4" s="208"/>
    </row>
    <row r="5" spans="1:13" ht="15" x14ac:dyDescent="0.3">
      <c r="A5" s="1"/>
      <c r="B5" s="9"/>
      <c r="C5" s="9"/>
      <c r="D5" s="9"/>
      <c r="E5" s="9"/>
      <c r="F5" s="10"/>
      <c r="G5" s="10"/>
      <c r="H5" s="10"/>
      <c r="I5" s="10"/>
      <c r="J5" s="10"/>
    </row>
    <row r="6" spans="1:13" ht="15" customHeight="1" x14ac:dyDescent="0.2">
      <c r="A6" s="112" t="s">
        <v>2</v>
      </c>
      <c r="B6" s="112" t="s">
        <v>3</v>
      </c>
      <c r="C6" s="113" t="s">
        <v>4</v>
      </c>
      <c r="D6" s="114" t="s">
        <v>5</v>
      </c>
      <c r="E6" s="113" t="s">
        <v>6</v>
      </c>
      <c r="F6" s="113" t="s">
        <v>7</v>
      </c>
      <c r="G6" s="126" t="s">
        <v>2783</v>
      </c>
      <c r="H6" s="126" t="s">
        <v>2785</v>
      </c>
      <c r="I6" s="126" t="s">
        <v>158</v>
      </c>
      <c r="J6" s="126" t="s">
        <v>2784</v>
      </c>
      <c r="K6" s="113" t="s">
        <v>32</v>
      </c>
    </row>
    <row r="7" spans="1:13" s="60" customFormat="1" ht="15" customHeight="1" x14ac:dyDescent="0.3">
      <c r="A7" s="115">
        <v>1</v>
      </c>
      <c r="B7" s="16">
        <v>42114</v>
      </c>
      <c r="C7" s="15" t="s">
        <v>2873</v>
      </c>
      <c r="D7" s="116">
        <f>B7+30</f>
        <v>42144</v>
      </c>
      <c r="E7" s="115" t="s">
        <v>49</v>
      </c>
      <c r="F7" s="115" t="s">
        <v>2874</v>
      </c>
      <c r="G7" s="115"/>
      <c r="H7" s="115"/>
      <c r="I7" s="115"/>
      <c r="J7" s="115"/>
      <c r="K7" s="117">
        <v>729.5</v>
      </c>
      <c r="L7" s="164">
        <f>K7*3%</f>
        <v>21.884999999999998</v>
      </c>
      <c r="M7" s="196">
        <f>K7-L7</f>
        <v>707.61500000000001</v>
      </c>
    </row>
    <row r="8" spans="1:13" s="60" customFormat="1" ht="15" customHeight="1" x14ac:dyDescent="0.3">
      <c r="A8" s="115">
        <v>2</v>
      </c>
      <c r="B8" s="192">
        <v>42136</v>
      </c>
      <c r="C8" s="193" t="s">
        <v>2782</v>
      </c>
      <c r="D8" s="192"/>
      <c r="E8" s="194"/>
      <c r="F8" s="194"/>
      <c r="G8" s="194"/>
      <c r="H8" s="194"/>
      <c r="I8" s="194"/>
      <c r="J8" s="194"/>
      <c r="K8" s="195">
        <v>-21.89</v>
      </c>
    </row>
    <row r="9" spans="1:13" s="60" customFormat="1" ht="15" customHeight="1" x14ac:dyDescent="0.3">
      <c r="A9" s="115">
        <v>3</v>
      </c>
      <c r="B9" s="16">
        <v>42111</v>
      </c>
      <c r="C9" s="15" t="s">
        <v>2875</v>
      </c>
      <c r="D9" s="116">
        <f>B9+15</f>
        <v>42126</v>
      </c>
      <c r="E9" s="115" t="s">
        <v>2876</v>
      </c>
      <c r="F9" s="115" t="s">
        <v>2877</v>
      </c>
      <c r="G9" s="115"/>
      <c r="H9" s="115"/>
      <c r="I9" s="115"/>
      <c r="J9" s="115"/>
      <c r="K9" s="117">
        <v>70</v>
      </c>
    </row>
    <row r="10" spans="1:13" s="60" customFormat="1" ht="15" customHeight="1" x14ac:dyDescent="0.3">
      <c r="A10" s="115">
        <v>4</v>
      </c>
      <c r="B10" s="160">
        <v>42109</v>
      </c>
      <c r="C10" s="162" t="s">
        <v>2878</v>
      </c>
      <c r="D10" s="166">
        <f t="shared" ref="D10:D11" si="0">B10+15</f>
        <v>42124</v>
      </c>
      <c r="E10" s="157" t="s">
        <v>2815</v>
      </c>
      <c r="F10" s="157" t="s">
        <v>2879</v>
      </c>
      <c r="G10" s="157"/>
      <c r="H10" s="157"/>
      <c r="I10" s="157"/>
      <c r="J10" s="157"/>
      <c r="K10" s="117">
        <v>236</v>
      </c>
    </row>
    <row r="11" spans="1:13" s="60" customFormat="1" ht="15" customHeight="1" x14ac:dyDescent="0.3">
      <c r="A11" s="115">
        <v>5</v>
      </c>
      <c r="B11" s="138">
        <v>42114</v>
      </c>
      <c r="C11" s="130" t="s">
        <v>2880</v>
      </c>
      <c r="D11" s="148">
        <f t="shared" si="0"/>
        <v>42129</v>
      </c>
      <c r="E11" s="167" t="s">
        <v>2790</v>
      </c>
      <c r="F11" s="181" t="s">
        <v>2881</v>
      </c>
      <c r="G11" s="167"/>
      <c r="H11" s="167"/>
      <c r="I11" s="167"/>
      <c r="J11" s="167"/>
      <c r="K11" s="182">
        <v>443.68</v>
      </c>
    </row>
    <row r="12" spans="1:13" s="60" customFormat="1" ht="15" customHeight="1" x14ac:dyDescent="0.3">
      <c r="A12" s="115">
        <v>6</v>
      </c>
      <c r="B12" s="16">
        <v>42110</v>
      </c>
      <c r="C12" s="15" t="s">
        <v>2882</v>
      </c>
      <c r="D12" s="116">
        <f t="shared" ref="D12:D17" si="1">B12+15</f>
        <v>42125</v>
      </c>
      <c r="E12" s="115" t="s">
        <v>2883</v>
      </c>
      <c r="F12" s="163" t="s">
        <v>2884</v>
      </c>
      <c r="G12" s="167"/>
      <c r="H12" s="167"/>
      <c r="I12" s="167"/>
      <c r="J12" s="167"/>
      <c r="K12" s="183">
        <v>77.88</v>
      </c>
    </row>
    <row r="13" spans="1:13" s="60" customFormat="1" ht="15" customHeight="1" x14ac:dyDescent="0.3">
      <c r="A13" s="115">
        <v>7</v>
      </c>
      <c r="B13" s="16">
        <v>42118</v>
      </c>
      <c r="C13" s="15" t="s">
        <v>2885</v>
      </c>
      <c r="D13" s="116">
        <f t="shared" si="1"/>
        <v>42133</v>
      </c>
      <c r="E13" s="115" t="s">
        <v>2886</v>
      </c>
      <c r="F13" s="163" t="s">
        <v>2887</v>
      </c>
      <c r="G13" s="167"/>
      <c r="H13" s="167"/>
      <c r="I13" s="167"/>
      <c r="J13" s="167"/>
      <c r="K13" s="183">
        <v>7080</v>
      </c>
      <c r="L13" s="164">
        <f>K13*3%</f>
        <v>212.4</v>
      </c>
      <c r="M13" s="196">
        <f>K13-L13</f>
        <v>6867.6</v>
      </c>
    </row>
    <row r="14" spans="1:13" s="60" customFormat="1" ht="15" customHeight="1" x14ac:dyDescent="0.3">
      <c r="A14" s="115">
        <v>8</v>
      </c>
      <c r="B14" s="192">
        <v>42136</v>
      </c>
      <c r="C14" s="193" t="s">
        <v>2782</v>
      </c>
      <c r="D14" s="192"/>
      <c r="E14" s="194"/>
      <c r="F14" s="194"/>
      <c r="G14" s="194"/>
      <c r="H14" s="194"/>
      <c r="I14" s="194"/>
      <c r="J14" s="194"/>
      <c r="K14" s="195">
        <v>-212.4</v>
      </c>
    </row>
    <row r="15" spans="1:13" s="60" customFormat="1" ht="15" customHeight="1" x14ac:dyDescent="0.3">
      <c r="A15" s="115">
        <v>9</v>
      </c>
      <c r="B15" s="16">
        <v>42110</v>
      </c>
      <c r="C15" s="15" t="s">
        <v>2888</v>
      </c>
      <c r="D15" s="116">
        <f t="shared" si="1"/>
        <v>42125</v>
      </c>
      <c r="E15" s="115" t="s">
        <v>2822</v>
      </c>
      <c r="F15" s="163" t="s">
        <v>2889</v>
      </c>
      <c r="G15" s="240" t="s">
        <v>2894</v>
      </c>
      <c r="H15" s="237">
        <v>7.7629999999999999</v>
      </c>
      <c r="I15" s="237" t="s">
        <v>2895</v>
      </c>
      <c r="J15" s="237">
        <v>43472</v>
      </c>
      <c r="K15" s="183">
        <v>671.52</v>
      </c>
    </row>
    <row r="16" spans="1:13" s="60" customFormat="1" ht="15" customHeight="1" x14ac:dyDescent="0.3">
      <c r="A16" s="115">
        <v>10</v>
      </c>
      <c r="B16" s="16">
        <v>42107</v>
      </c>
      <c r="C16" s="15" t="s">
        <v>2890</v>
      </c>
      <c r="D16" s="116">
        <f t="shared" si="1"/>
        <v>42122</v>
      </c>
      <c r="E16" s="115" t="s">
        <v>2891</v>
      </c>
      <c r="F16" s="163" t="s">
        <v>2862</v>
      </c>
      <c r="G16" s="241"/>
      <c r="H16" s="238"/>
      <c r="I16" s="238"/>
      <c r="J16" s="238"/>
      <c r="K16" s="183">
        <v>318.60000000000002</v>
      </c>
    </row>
    <row r="17" spans="1:11" s="60" customFormat="1" ht="15" customHeight="1" x14ac:dyDescent="0.3">
      <c r="A17" s="115">
        <v>11</v>
      </c>
      <c r="B17" s="16">
        <v>42108</v>
      </c>
      <c r="C17" s="15" t="s">
        <v>2892</v>
      </c>
      <c r="D17" s="116">
        <f t="shared" si="1"/>
        <v>42123</v>
      </c>
      <c r="E17" s="115" t="s">
        <v>2893</v>
      </c>
      <c r="F17" s="163" t="s">
        <v>2843</v>
      </c>
      <c r="G17" s="242"/>
      <c r="H17" s="239"/>
      <c r="I17" s="239"/>
      <c r="J17" s="239"/>
      <c r="K17" s="183">
        <v>118</v>
      </c>
    </row>
    <row r="18" spans="1:11" ht="18.75" x14ac:dyDescent="0.3">
      <c r="B18" s="118"/>
      <c r="C18" s="118"/>
      <c r="D18" s="118"/>
      <c r="I18" s="217" t="s">
        <v>2781</v>
      </c>
      <c r="J18" s="218"/>
      <c r="K18" s="171">
        <f>SUM(K7:K17)</f>
        <v>9510.8900000000012</v>
      </c>
    </row>
  </sheetData>
  <sheetProtection selectLockedCells="1" selectUnlockedCells="1"/>
  <mergeCells count="7">
    <mergeCell ref="F1:K1"/>
    <mergeCell ref="A4:K4"/>
    <mergeCell ref="I18:J18"/>
    <mergeCell ref="J15:J17"/>
    <mergeCell ref="I15:I17"/>
    <mergeCell ref="H15:H17"/>
    <mergeCell ref="G15:G17"/>
  </mergeCells>
  <printOptions horizontalCentered="1"/>
  <pageMargins left="0.11811023622047245" right="0.11811023622047245" top="0" bottom="0" header="0.51181102362204722" footer="0.51181102362204722"/>
  <pageSetup paperSize="9" scale="69" firstPageNumber="0" orientation="landscape" horizontalDpi="300" verticalDpi="300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9">
    <pageSetUpPr fitToPage="1"/>
  </sheetPr>
  <dimension ref="A1:K12"/>
  <sheetViews>
    <sheetView workbookViewId="0">
      <selection activeCell="E14" sqref="E14"/>
    </sheetView>
  </sheetViews>
  <sheetFormatPr baseColWidth="10" defaultColWidth="10.7109375" defaultRowHeight="12.75" x14ac:dyDescent="0.2"/>
  <cols>
    <col min="1" max="1" width="4.5703125" customWidth="1"/>
    <col min="2" max="2" width="15.7109375" customWidth="1"/>
    <col min="3" max="3" width="15.85546875" customWidth="1"/>
    <col min="4" max="4" width="16" customWidth="1"/>
    <col min="5" max="5" width="27.42578125" customWidth="1"/>
    <col min="6" max="6" width="36.85546875" customWidth="1"/>
    <col min="7" max="7" width="19.85546875" customWidth="1"/>
    <col min="8" max="8" width="12" customWidth="1"/>
    <col min="9" max="9" width="14.140625" customWidth="1"/>
    <col min="10" max="10" width="9.85546875" customWidth="1"/>
    <col min="11" max="11" width="13.42578125" customWidth="1"/>
  </cols>
  <sheetData>
    <row r="1" spans="1:11" ht="15" customHeight="1" x14ac:dyDescent="0.3">
      <c r="A1" s="1" t="s">
        <v>1590</v>
      </c>
      <c r="B1" s="2"/>
      <c r="C1" s="3"/>
      <c r="D1" s="4"/>
      <c r="E1" s="5"/>
      <c r="F1" s="222" t="s">
        <v>0</v>
      </c>
      <c r="G1" s="222"/>
      <c r="H1" s="222"/>
      <c r="I1" s="222"/>
      <c r="J1" s="222"/>
      <c r="K1" s="222"/>
    </row>
    <row r="2" spans="1:11" ht="18.75" x14ac:dyDescent="0.3">
      <c r="A2" s="120" t="s">
        <v>1</v>
      </c>
      <c r="B2" s="7"/>
      <c r="C2" s="3"/>
      <c r="D2" s="4"/>
      <c r="E2" s="5"/>
    </row>
    <row r="3" spans="1:11" ht="15" x14ac:dyDescent="0.3">
      <c r="A3" s="1"/>
      <c r="B3" s="2"/>
      <c r="C3" s="3"/>
      <c r="D3" s="4"/>
      <c r="E3" s="5"/>
      <c r="F3" s="5"/>
      <c r="G3" s="5"/>
      <c r="H3" s="5"/>
      <c r="I3" s="5"/>
      <c r="J3" s="5"/>
      <c r="K3" s="5"/>
    </row>
    <row r="4" spans="1:11" ht="15" x14ac:dyDescent="0.3">
      <c r="A4" s="1"/>
      <c r="B4" s="2"/>
      <c r="C4" s="3"/>
      <c r="D4" s="4"/>
      <c r="E4" s="5"/>
      <c r="F4" s="5"/>
      <c r="G4" s="5"/>
      <c r="H4" s="5"/>
      <c r="I4" s="5"/>
      <c r="J4" s="5"/>
      <c r="K4" s="5"/>
    </row>
    <row r="5" spans="1:11" ht="18" x14ac:dyDescent="0.25">
      <c r="A5" s="208" t="s">
        <v>2795</v>
      </c>
      <c r="B5" s="208"/>
      <c r="C5" s="208"/>
      <c r="D5" s="208"/>
      <c r="E5" s="208"/>
      <c r="F5" s="208"/>
      <c r="G5" s="208"/>
      <c r="H5" s="208"/>
      <c r="I5" s="208"/>
      <c r="J5" s="208"/>
      <c r="K5" s="208"/>
    </row>
    <row r="6" spans="1:11" ht="15" x14ac:dyDescent="0.3">
      <c r="A6" s="1"/>
      <c r="B6" s="9"/>
      <c r="C6" s="9"/>
      <c r="D6" s="9"/>
      <c r="E6" s="9"/>
      <c r="F6" s="10"/>
      <c r="G6" s="10"/>
      <c r="H6" s="10"/>
      <c r="I6" s="10"/>
      <c r="J6" s="10"/>
      <c r="K6" s="121"/>
    </row>
    <row r="7" spans="1:11" ht="19.5" customHeight="1" x14ac:dyDescent="0.2">
      <c r="A7" s="112" t="s">
        <v>2</v>
      </c>
      <c r="B7" s="112" t="s">
        <v>3</v>
      </c>
      <c r="C7" s="113" t="s">
        <v>4</v>
      </c>
      <c r="D7" s="114" t="s">
        <v>5</v>
      </c>
      <c r="E7" s="113" t="s">
        <v>6</v>
      </c>
      <c r="F7" s="113" t="s">
        <v>7</v>
      </c>
      <c r="G7" s="126" t="s">
        <v>2783</v>
      </c>
      <c r="H7" s="126" t="s">
        <v>2785</v>
      </c>
      <c r="I7" s="126" t="s">
        <v>158</v>
      </c>
      <c r="J7" s="126" t="s">
        <v>2784</v>
      </c>
      <c r="K7" s="113" t="s">
        <v>8</v>
      </c>
    </row>
    <row r="8" spans="1:11" s="60" customFormat="1" ht="15" x14ac:dyDescent="0.3">
      <c r="A8" s="15">
        <v>1</v>
      </c>
      <c r="B8" s="16">
        <v>42110</v>
      </c>
      <c r="C8" s="17" t="s">
        <v>2896</v>
      </c>
      <c r="D8" s="122">
        <f t="shared" ref="D8:D11" si="0">B8+30</f>
        <v>42140</v>
      </c>
      <c r="E8" s="19" t="s">
        <v>2897</v>
      </c>
      <c r="F8" s="19" t="s">
        <v>2898</v>
      </c>
      <c r="G8" s="19"/>
      <c r="H8" s="19"/>
      <c r="I8" s="19"/>
      <c r="J8" s="19"/>
      <c r="K8" s="123">
        <v>76.7</v>
      </c>
    </row>
    <row r="9" spans="1:11" s="60" customFormat="1" ht="15" x14ac:dyDescent="0.3">
      <c r="A9" s="15">
        <v>2</v>
      </c>
      <c r="B9" s="16">
        <v>42103</v>
      </c>
      <c r="C9" s="17" t="s">
        <v>2899</v>
      </c>
      <c r="D9" s="122">
        <f t="shared" si="0"/>
        <v>42133</v>
      </c>
      <c r="E9" s="19" t="s">
        <v>2791</v>
      </c>
      <c r="F9" s="19" t="s">
        <v>1873</v>
      </c>
      <c r="G9" s="19"/>
      <c r="H9" s="19"/>
      <c r="I9" s="19"/>
      <c r="J9" s="19"/>
      <c r="K9" s="123">
        <v>8450.9699999999993</v>
      </c>
    </row>
    <row r="10" spans="1:11" s="60" customFormat="1" ht="15" x14ac:dyDescent="0.3">
      <c r="A10" s="15">
        <v>3</v>
      </c>
      <c r="B10" s="16">
        <v>42110</v>
      </c>
      <c r="C10" s="17" t="s">
        <v>2900</v>
      </c>
      <c r="D10" s="122">
        <f t="shared" si="0"/>
        <v>42140</v>
      </c>
      <c r="E10" s="19" t="s">
        <v>2822</v>
      </c>
      <c r="F10" s="19" t="s">
        <v>2854</v>
      </c>
      <c r="G10" s="244" t="s">
        <v>2894</v>
      </c>
      <c r="H10" s="244">
        <v>7.7359999999999998</v>
      </c>
      <c r="I10" s="244">
        <v>235.055149</v>
      </c>
      <c r="J10" s="244">
        <v>43472</v>
      </c>
      <c r="K10" s="123">
        <v>94.4</v>
      </c>
    </row>
    <row r="11" spans="1:11" s="60" customFormat="1" ht="15" x14ac:dyDescent="0.3">
      <c r="A11" s="15">
        <v>4</v>
      </c>
      <c r="B11" s="16">
        <v>42107</v>
      </c>
      <c r="C11" s="17" t="s">
        <v>2901</v>
      </c>
      <c r="D11" s="122">
        <f t="shared" si="0"/>
        <v>42137</v>
      </c>
      <c r="E11" s="19" t="s">
        <v>2891</v>
      </c>
      <c r="F11" s="19" t="s">
        <v>2856</v>
      </c>
      <c r="G11" s="245"/>
      <c r="H11" s="245"/>
      <c r="I11" s="245"/>
      <c r="J11" s="245"/>
      <c r="K11" s="123">
        <v>550.67999999999995</v>
      </c>
    </row>
    <row r="12" spans="1:11" ht="15" x14ac:dyDescent="0.2">
      <c r="A12" s="22"/>
      <c r="C12" s="124"/>
      <c r="D12" s="124"/>
      <c r="I12" s="243" t="s">
        <v>24</v>
      </c>
      <c r="J12" s="243"/>
      <c r="K12" s="125">
        <f>SUM(K8:K11)</f>
        <v>9172.75</v>
      </c>
    </row>
  </sheetData>
  <sheetProtection selectLockedCells="1" selectUnlockedCells="1"/>
  <mergeCells count="7">
    <mergeCell ref="F1:K1"/>
    <mergeCell ref="A5:K5"/>
    <mergeCell ref="I12:J12"/>
    <mergeCell ref="J10:J11"/>
    <mergeCell ref="I10:I11"/>
    <mergeCell ref="H10:H11"/>
    <mergeCell ref="G10:G11"/>
  </mergeCells>
  <pageMargins left="0.36" right="0.31" top="0.74803149606299213" bottom="0.74803149606299213" header="0.51181102362204722" footer="0.51181102362204722"/>
  <pageSetup scale="72" firstPageNumber="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/>
  <dimension ref="A1:I59"/>
  <sheetViews>
    <sheetView topLeftCell="A2" workbookViewId="0">
      <selection activeCell="E11" sqref="E11"/>
    </sheetView>
  </sheetViews>
  <sheetFormatPr baseColWidth="10" defaultColWidth="10.7109375" defaultRowHeight="12.75" x14ac:dyDescent="0.2"/>
  <cols>
    <col min="1" max="1" width="4.42578125" customWidth="1"/>
    <col min="2" max="2" width="12.85546875" customWidth="1"/>
    <col min="4" max="4" width="13" customWidth="1"/>
    <col min="5" max="5" width="35.28515625" customWidth="1"/>
    <col min="6" max="6" width="32.28515625" customWidth="1"/>
    <col min="7" max="7" width="14.7109375" customWidth="1"/>
    <col min="9" max="9" width="12.42578125" customWidth="1"/>
  </cols>
  <sheetData>
    <row r="1" spans="1:8" ht="15" customHeight="1" x14ac:dyDescent="0.3">
      <c r="A1" s="1"/>
      <c r="B1" s="2"/>
      <c r="C1" s="3"/>
      <c r="D1" s="4"/>
      <c r="E1" s="5"/>
      <c r="F1" s="207" t="s">
        <v>0</v>
      </c>
      <c r="G1" s="207"/>
    </row>
    <row r="2" spans="1:8" ht="18.75" x14ac:dyDescent="0.3">
      <c r="A2" s="7" t="s">
        <v>1</v>
      </c>
      <c r="B2" s="7"/>
      <c r="C2" s="3"/>
      <c r="D2" s="4"/>
      <c r="E2" s="5"/>
      <c r="F2" s="5"/>
      <c r="G2" s="8"/>
    </row>
    <row r="3" spans="1:8" ht="15" x14ac:dyDescent="0.3">
      <c r="A3" s="1"/>
      <c r="B3" s="2"/>
      <c r="C3" s="3"/>
      <c r="D3" s="4"/>
      <c r="E3" s="5"/>
      <c r="F3" s="5"/>
      <c r="G3" s="8"/>
    </row>
    <row r="4" spans="1:8" ht="15" x14ac:dyDescent="0.3">
      <c r="A4" s="1"/>
      <c r="B4" s="2"/>
      <c r="C4" s="3"/>
      <c r="D4" s="4"/>
      <c r="E4" s="5"/>
      <c r="F4" s="5"/>
      <c r="G4" s="8"/>
    </row>
    <row r="5" spans="1:8" ht="18" x14ac:dyDescent="0.25">
      <c r="A5" s="208" t="s">
        <v>477</v>
      </c>
      <c r="B5" s="208"/>
      <c r="C5" s="208"/>
      <c r="D5" s="208"/>
      <c r="E5" s="208"/>
      <c r="F5" s="208"/>
      <c r="G5" s="208"/>
    </row>
    <row r="6" spans="1:8" ht="15" x14ac:dyDescent="0.3">
      <c r="A6" s="1"/>
      <c r="B6" s="9"/>
      <c r="C6" s="9"/>
      <c r="D6" s="9"/>
      <c r="E6" s="9"/>
      <c r="F6" s="10"/>
      <c r="G6" s="11"/>
    </row>
    <row r="7" spans="1:8" x14ac:dyDescent="0.2">
      <c r="A7" s="12" t="s">
        <v>2</v>
      </c>
      <c r="B7" s="12" t="s">
        <v>3</v>
      </c>
      <c r="C7" s="13" t="s">
        <v>4</v>
      </c>
      <c r="D7" s="14" t="s">
        <v>5</v>
      </c>
      <c r="E7" s="13" t="s">
        <v>6</v>
      </c>
      <c r="F7" s="13" t="s">
        <v>7</v>
      </c>
      <c r="G7" s="13" t="s">
        <v>8</v>
      </c>
    </row>
    <row r="8" spans="1:8" s="1" customFormat="1" ht="30" x14ac:dyDescent="0.3">
      <c r="A8" s="15">
        <v>1</v>
      </c>
      <c r="B8" s="16">
        <v>40577</v>
      </c>
      <c r="C8" s="17" t="s">
        <v>478</v>
      </c>
      <c r="D8" s="18">
        <f>+B8+30</f>
        <v>40607</v>
      </c>
      <c r="E8" s="19" t="s">
        <v>11</v>
      </c>
      <c r="F8" s="20" t="s">
        <v>479</v>
      </c>
      <c r="G8" s="21">
        <v>4.4000000000000004</v>
      </c>
    </row>
    <row r="9" spans="1:8" s="1" customFormat="1" ht="30" x14ac:dyDescent="0.3">
      <c r="A9" s="15">
        <v>2</v>
      </c>
      <c r="B9" s="16">
        <v>40578</v>
      </c>
      <c r="C9" s="17" t="s">
        <v>480</v>
      </c>
      <c r="D9" s="18">
        <f>+B9+30</f>
        <v>40608</v>
      </c>
      <c r="E9" s="19" t="s">
        <v>10</v>
      </c>
      <c r="F9" s="20" t="s">
        <v>481</v>
      </c>
      <c r="G9" s="21">
        <v>177.41</v>
      </c>
    </row>
    <row r="10" spans="1:8" s="1" customFormat="1" ht="30" x14ac:dyDescent="0.3">
      <c r="A10" s="15">
        <v>3</v>
      </c>
      <c r="B10" s="16">
        <v>40564</v>
      </c>
      <c r="C10" s="17" t="s">
        <v>482</v>
      </c>
      <c r="D10" s="18">
        <f>+B10+30</f>
        <v>40594</v>
      </c>
      <c r="E10" s="19" t="s">
        <v>10</v>
      </c>
      <c r="F10" s="20" t="s">
        <v>483</v>
      </c>
      <c r="G10" s="21">
        <v>206.1</v>
      </c>
    </row>
    <row r="11" spans="1:8" s="1" customFormat="1" ht="30" x14ac:dyDescent="0.3">
      <c r="A11" s="15">
        <v>4</v>
      </c>
      <c r="B11" s="16">
        <v>40575</v>
      </c>
      <c r="C11" s="17" t="s">
        <v>484</v>
      </c>
      <c r="D11" s="18">
        <f>+B11+30</f>
        <v>40605</v>
      </c>
      <c r="E11" s="19" t="s">
        <v>20</v>
      </c>
      <c r="F11" s="20" t="s">
        <v>9</v>
      </c>
      <c r="G11" s="21">
        <v>234.37</v>
      </c>
    </row>
    <row r="12" spans="1:8" s="1" customFormat="1" ht="15" x14ac:dyDescent="0.3">
      <c r="A12" s="15">
        <v>5</v>
      </c>
      <c r="B12" s="16">
        <v>40609</v>
      </c>
      <c r="C12" s="17" t="s">
        <v>485</v>
      </c>
      <c r="D12" s="18">
        <v>40613</v>
      </c>
      <c r="E12" s="19" t="s">
        <v>313</v>
      </c>
      <c r="F12" s="20" t="s">
        <v>486</v>
      </c>
      <c r="G12" s="21">
        <v>250.18</v>
      </c>
      <c r="H12" s="1" t="s">
        <v>487</v>
      </c>
    </row>
    <row r="13" spans="1:8" s="1" customFormat="1" ht="15" x14ac:dyDescent="0.3">
      <c r="A13" s="15">
        <v>6</v>
      </c>
      <c r="B13" s="16">
        <v>40609</v>
      </c>
      <c r="C13" s="17" t="s">
        <v>488</v>
      </c>
      <c r="D13" s="18">
        <v>40613</v>
      </c>
      <c r="E13" s="19" t="s">
        <v>313</v>
      </c>
      <c r="F13" s="20" t="s">
        <v>489</v>
      </c>
      <c r="G13" s="21">
        <v>164.79</v>
      </c>
      <c r="H13" s="1" t="s">
        <v>490</v>
      </c>
    </row>
    <row r="14" spans="1:8" s="1" customFormat="1" ht="30" x14ac:dyDescent="0.3">
      <c r="A14" s="15">
        <v>7</v>
      </c>
      <c r="B14" s="16">
        <v>40546</v>
      </c>
      <c r="C14" s="17" t="s">
        <v>491</v>
      </c>
      <c r="D14" s="18">
        <f>+B14+15</f>
        <v>40561</v>
      </c>
      <c r="E14" s="19" t="s">
        <v>492</v>
      </c>
      <c r="F14" s="20" t="s">
        <v>493</v>
      </c>
      <c r="G14" s="21">
        <v>464.94</v>
      </c>
    </row>
    <row r="15" spans="1:8" s="1" customFormat="1" ht="30" x14ac:dyDescent="0.3">
      <c r="A15" s="15">
        <v>8</v>
      </c>
      <c r="B15" s="16">
        <v>40563</v>
      </c>
      <c r="C15" s="17" t="s">
        <v>494</v>
      </c>
      <c r="D15" s="18">
        <f>+B15+15</f>
        <v>40578</v>
      </c>
      <c r="E15" s="19" t="s">
        <v>492</v>
      </c>
      <c r="F15" s="20" t="s">
        <v>495</v>
      </c>
      <c r="G15" s="21">
        <v>1038.6600000000001</v>
      </c>
    </row>
    <row r="16" spans="1:8" s="1" customFormat="1" ht="30" x14ac:dyDescent="0.3">
      <c r="A16" s="15">
        <v>9</v>
      </c>
      <c r="B16" s="16">
        <v>40592</v>
      </c>
      <c r="C16" s="17" t="s">
        <v>496</v>
      </c>
      <c r="D16" s="18">
        <f>+B16+15</f>
        <v>40607</v>
      </c>
      <c r="E16" s="19" t="s">
        <v>492</v>
      </c>
      <c r="F16" s="20" t="s">
        <v>497</v>
      </c>
      <c r="G16" s="21">
        <v>315.35000000000002</v>
      </c>
    </row>
    <row r="17" spans="1:9" s="1" customFormat="1" ht="30" x14ac:dyDescent="0.3">
      <c r="A17" s="15">
        <v>10</v>
      </c>
      <c r="B17" s="16">
        <v>40575</v>
      </c>
      <c r="C17" s="17" t="s">
        <v>498</v>
      </c>
      <c r="D17" s="18">
        <f>+B17+15</f>
        <v>40590</v>
      </c>
      <c r="E17" s="19" t="s">
        <v>499</v>
      </c>
      <c r="F17" s="20" t="s">
        <v>500</v>
      </c>
      <c r="G17" s="21">
        <v>1020</v>
      </c>
    </row>
    <row r="18" spans="1:9" s="1" customFormat="1" ht="30" x14ac:dyDescent="0.3">
      <c r="A18" s="15">
        <v>11</v>
      </c>
      <c r="B18" s="16">
        <v>40575</v>
      </c>
      <c r="C18" s="17" t="s">
        <v>501</v>
      </c>
      <c r="D18" s="18">
        <f>+B18+15</f>
        <v>40590</v>
      </c>
      <c r="E18" s="19" t="s">
        <v>499</v>
      </c>
      <c r="F18" s="20" t="s">
        <v>500</v>
      </c>
      <c r="G18" s="21">
        <v>1095</v>
      </c>
    </row>
    <row r="19" spans="1:9" ht="15" x14ac:dyDescent="0.2">
      <c r="A19" s="22"/>
      <c r="B19" s="22"/>
      <c r="C19" s="23"/>
      <c r="D19" s="24"/>
      <c r="E19" s="25"/>
      <c r="F19" s="26" t="s">
        <v>24</v>
      </c>
      <c r="G19" s="27">
        <f>SUM(G8:G18)</f>
        <v>4971.2000000000007</v>
      </c>
    </row>
    <row r="21" spans="1:9" s="1" customFormat="1" ht="15" x14ac:dyDescent="0.3">
      <c r="F21" s="5"/>
      <c r="G21" s="11"/>
      <c r="I21" s="28"/>
    </row>
    <row r="22" spans="1:9" s="1" customFormat="1" ht="15" x14ac:dyDescent="0.3">
      <c r="F22" s="5"/>
      <c r="G22" s="11"/>
      <c r="I22" s="28"/>
    </row>
    <row r="23" spans="1:9" s="1" customFormat="1" ht="15" customHeight="1" x14ac:dyDescent="0.3">
      <c r="A23" s="29"/>
      <c r="B23" s="30"/>
      <c r="C23" s="3"/>
      <c r="D23" s="30"/>
      <c r="E23" s="5"/>
      <c r="F23" s="207" t="s">
        <v>0</v>
      </c>
      <c r="G23" s="207"/>
      <c r="I23" s="28"/>
    </row>
    <row r="24" spans="1:9" s="1" customFormat="1" ht="18.75" x14ac:dyDescent="0.3">
      <c r="A24" s="31" t="s">
        <v>1</v>
      </c>
      <c r="B24" s="29"/>
      <c r="C24" s="3"/>
      <c r="D24" s="30"/>
      <c r="E24" s="5"/>
      <c r="F24" s="29"/>
      <c r="G24" s="29"/>
      <c r="I24" s="28"/>
    </row>
    <row r="25" spans="1:9" s="1" customFormat="1" ht="15" x14ac:dyDescent="0.3">
      <c r="A25" s="29"/>
      <c r="B25" s="30"/>
      <c r="C25" s="3"/>
      <c r="D25" s="30"/>
      <c r="E25" s="5"/>
      <c r="F25" s="5"/>
      <c r="G25" s="32"/>
      <c r="I25" s="28"/>
    </row>
    <row r="26" spans="1:9" s="1" customFormat="1" ht="15" x14ac:dyDescent="0.3">
      <c r="A26" s="29"/>
      <c r="B26" s="30"/>
      <c r="C26" s="3"/>
      <c r="D26" s="30"/>
      <c r="E26" s="5"/>
      <c r="F26" s="5"/>
      <c r="G26" s="32"/>
    </row>
    <row r="27" spans="1:9" s="1" customFormat="1" ht="18.75" x14ac:dyDescent="0.3">
      <c r="A27" s="208" t="s">
        <v>502</v>
      </c>
      <c r="B27" s="208"/>
      <c r="C27" s="208"/>
      <c r="D27" s="208"/>
      <c r="E27" s="208"/>
      <c r="F27" s="208"/>
      <c r="G27" s="208"/>
    </row>
    <row r="28" spans="1:9" s="1" customFormat="1" ht="15" x14ac:dyDescent="0.3">
      <c r="A28" s="29"/>
      <c r="B28" s="9"/>
      <c r="C28" s="9"/>
      <c r="D28" s="9"/>
      <c r="E28" s="9"/>
      <c r="F28" s="10"/>
      <c r="G28" s="11"/>
    </row>
    <row r="29" spans="1:9" s="1" customFormat="1" ht="15" x14ac:dyDescent="0.3">
      <c r="A29" s="12" t="s">
        <v>2</v>
      </c>
      <c r="B29" s="12" t="s">
        <v>3</v>
      </c>
      <c r="C29" s="13" t="s">
        <v>4</v>
      </c>
      <c r="D29" s="14" t="s">
        <v>25</v>
      </c>
      <c r="E29" s="13" t="s">
        <v>6</v>
      </c>
      <c r="F29" s="13" t="s">
        <v>7</v>
      </c>
      <c r="G29" s="13" t="s">
        <v>8</v>
      </c>
    </row>
    <row r="30" spans="1:9" s="1" customFormat="1" ht="45" x14ac:dyDescent="0.3">
      <c r="A30" s="15">
        <v>1</v>
      </c>
      <c r="B30" s="16">
        <v>40617</v>
      </c>
      <c r="C30" s="33" t="s">
        <v>503</v>
      </c>
      <c r="D30" s="18" t="s">
        <v>504</v>
      </c>
      <c r="E30" s="19" t="s">
        <v>313</v>
      </c>
      <c r="F30" s="20" t="s">
        <v>505</v>
      </c>
      <c r="G30" s="21">
        <v>372.26</v>
      </c>
      <c r="H30" s="34" t="s">
        <v>27</v>
      </c>
    </row>
    <row r="31" spans="1:9" s="1" customFormat="1" ht="75" x14ac:dyDescent="0.3">
      <c r="A31" s="15">
        <v>2</v>
      </c>
      <c r="B31" s="16">
        <v>40617</v>
      </c>
      <c r="C31" s="33" t="s">
        <v>506</v>
      </c>
      <c r="D31" s="18" t="s">
        <v>507</v>
      </c>
      <c r="E31" s="19" t="s">
        <v>313</v>
      </c>
      <c r="F31" s="20" t="s">
        <v>508</v>
      </c>
      <c r="G31" s="21">
        <v>743.81</v>
      </c>
      <c r="H31" s="34" t="s">
        <v>27</v>
      </c>
    </row>
    <row r="32" spans="1:9" s="1" customFormat="1" ht="30" x14ac:dyDescent="0.3">
      <c r="A32" s="15">
        <v>3</v>
      </c>
      <c r="B32" s="16">
        <v>40606</v>
      </c>
      <c r="C32" s="33" t="s">
        <v>29</v>
      </c>
      <c r="D32" s="18" t="s">
        <v>330</v>
      </c>
      <c r="E32" s="19" t="s">
        <v>331</v>
      </c>
      <c r="F32" s="20" t="s">
        <v>332</v>
      </c>
      <c r="G32" s="21">
        <v>844.21</v>
      </c>
      <c r="H32" s="34" t="s">
        <v>27</v>
      </c>
    </row>
    <row r="33" spans="1:8" s="1" customFormat="1" ht="30" x14ac:dyDescent="0.3">
      <c r="A33" s="15">
        <v>4</v>
      </c>
      <c r="B33" s="16">
        <v>40606</v>
      </c>
      <c r="C33" s="33" t="s">
        <v>29</v>
      </c>
      <c r="D33" s="18" t="s">
        <v>333</v>
      </c>
      <c r="E33" s="19" t="s">
        <v>124</v>
      </c>
      <c r="F33" s="20" t="s">
        <v>332</v>
      </c>
      <c r="G33" s="21">
        <v>830.22</v>
      </c>
      <c r="H33" s="34" t="s">
        <v>27</v>
      </c>
    </row>
    <row r="34" spans="1:8" s="1" customFormat="1" ht="30" x14ac:dyDescent="0.3">
      <c r="A34" s="15">
        <v>5</v>
      </c>
      <c r="B34" s="16">
        <v>40606</v>
      </c>
      <c r="C34" s="33" t="s">
        <v>29</v>
      </c>
      <c r="D34" s="18" t="s">
        <v>334</v>
      </c>
      <c r="E34" s="19" t="s">
        <v>335</v>
      </c>
      <c r="F34" s="20" t="s">
        <v>332</v>
      </c>
      <c r="G34" s="21">
        <v>983.81</v>
      </c>
      <c r="H34" s="34" t="s">
        <v>27</v>
      </c>
    </row>
    <row r="35" spans="1:8" s="1" customFormat="1" ht="30" x14ac:dyDescent="0.3">
      <c r="A35" s="15">
        <v>6</v>
      </c>
      <c r="B35" s="16">
        <v>40606</v>
      </c>
      <c r="C35" s="33" t="s">
        <v>29</v>
      </c>
      <c r="D35" s="18" t="s">
        <v>336</v>
      </c>
      <c r="E35" s="19" t="s">
        <v>337</v>
      </c>
      <c r="F35" s="20" t="s">
        <v>332</v>
      </c>
      <c r="G35" s="21">
        <v>783.09</v>
      </c>
      <c r="H35" s="34" t="s">
        <v>27</v>
      </c>
    </row>
    <row r="36" spans="1:8" s="1" customFormat="1" ht="30" x14ac:dyDescent="0.3">
      <c r="A36" s="15">
        <v>7</v>
      </c>
      <c r="B36" s="16">
        <v>40606</v>
      </c>
      <c r="C36" s="33" t="s">
        <v>29</v>
      </c>
      <c r="D36" s="18" t="s">
        <v>338</v>
      </c>
      <c r="E36" s="19" t="s">
        <v>339</v>
      </c>
      <c r="F36" s="20" t="s">
        <v>332</v>
      </c>
      <c r="G36" s="21">
        <v>965.82</v>
      </c>
      <c r="H36" s="34" t="s">
        <v>27</v>
      </c>
    </row>
    <row r="37" spans="1:8" s="1" customFormat="1" ht="30" x14ac:dyDescent="0.3">
      <c r="A37" s="15">
        <v>8</v>
      </c>
      <c r="B37" s="16">
        <v>40606</v>
      </c>
      <c r="C37" s="33" t="s">
        <v>29</v>
      </c>
      <c r="D37" s="18" t="s">
        <v>340</v>
      </c>
      <c r="E37" s="19" t="s">
        <v>341</v>
      </c>
      <c r="F37" s="20" t="s">
        <v>332</v>
      </c>
      <c r="G37" s="21">
        <v>992.01</v>
      </c>
      <c r="H37" s="34" t="s">
        <v>27</v>
      </c>
    </row>
    <row r="38" spans="1:8" s="1" customFormat="1" ht="30" x14ac:dyDescent="0.3">
      <c r="A38" s="15">
        <v>9</v>
      </c>
      <c r="B38" s="16">
        <v>40610</v>
      </c>
      <c r="C38" s="33" t="s">
        <v>509</v>
      </c>
      <c r="D38" s="18" t="s">
        <v>510</v>
      </c>
      <c r="E38" s="19" t="s">
        <v>511</v>
      </c>
      <c r="F38" s="20" t="s">
        <v>512</v>
      </c>
      <c r="G38" s="21">
        <f>4213.17</f>
        <v>4213.17</v>
      </c>
      <c r="H38" s="34" t="s">
        <v>27</v>
      </c>
    </row>
    <row r="39" spans="1:8" s="1" customFormat="1" ht="30" x14ac:dyDescent="0.3">
      <c r="A39" s="15">
        <v>10</v>
      </c>
      <c r="B39" s="16">
        <v>40583</v>
      </c>
      <c r="C39" s="33" t="s">
        <v>513</v>
      </c>
      <c r="D39" s="18" t="s">
        <v>514</v>
      </c>
      <c r="E39" s="19" t="s">
        <v>515</v>
      </c>
      <c r="F39" s="20" t="s">
        <v>516</v>
      </c>
      <c r="G39" s="21">
        <v>446.25</v>
      </c>
      <c r="H39" s="34" t="s">
        <v>27</v>
      </c>
    </row>
    <row r="40" spans="1:8" s="1" customFormat="1" ht="15" x14ac:dyDescent="0.3">
      <c r="A40" s="29"/>
      <c r="B40" s="30"/>
      <c r="C40" s="3"/>
      <c r="D40" s="30"/>
      <c r="E40" s="5"/>
      <c r="F40" s="26" t="s">
        <v>24</v>
      </c>
      <c r="G40" s="27">
        <f>SUM(G30:G39)</f>
        <v>11174.65</v>
      </c>
    </row>
    <row r="44" spans="1:8" ht="15" customHeight="1" x14ac:dyDescent="0.3">
      <c r="A44" s="1"/>
      <c r="B44" s="37"/>
      <c r="C44" s="37"/>
      <c r="D44" s="37"/>
      <c r="E44" s="47"/>
      <c r="F44" s="212" t="s">
        <v>0</v>
      </c>
      <c r="G44" s="212"/>
    </row>
    <row r="45" spans="1:8" ht="18.75" x14ac:dyDescent="0.3">
      <c r="A45" s="209" t="s">
        <v>1</v>
      </c>
      <c r="B45" s="209"/>
      <c r="C45" s="209"/>
      <c r="D45" s="209"/>
      <c r="E45" s="209"/>
      <c r="F45" s="47"/>
      <c r="G45" s="47"/>
    </row>
    <row r="46" spans="1:8" ht="15" x14ac:dyDescent="0.3">
      <c r="A46" s="1"/>
      <c r="B46" s="37"/>
      <c r="C46" s="37"/>
      <c r="D46" s="37"/>
      <c r="E46" s="47"/>
      <c r="F46" s="47"/>
      <c r="G46" s="48"/>
    </row>
    <row r="47" spans="1:8" ht="15" x14ac:dyDescent="0.3">
      <c r="A47" s="1"/>
      <c r="B47" s="37"/>
      <c r="C47" s="37"/>
      <c r="D47" s="37"/>
      <c r="E47" s="47"/>
      <c r="F47" s="47"/>
      <c r="G47" s="48"/>
    </row>
    <row r="48" spans="1:8" ht="18" x14ac:dyDescent="0.25">
      <c r="A48" s="210" t="s">
        <v>517</v>
      </c>
      <c r="B48" s="210"/>
      <c r="C48" s="210"/>
      <c r="D48" s="210"/>
      <c r="E48" s="210"/>
      <c r="F48" s="210"/>
      <c r="G48" s="210"/>
    </row>
    <row r="49" spans="1:8" ht="15" x14ac:dyDescent="0.3">
      <c r="A49" s="1"/>
      <c r="B49" s="49"/>
      <c r="C49" s="49"/>
      <c r="D49" s="49"/>
      <c r="E49" s="49"/>
      <c r="F49" s="50"/>
      <c r="G49" s="47"/>
    </row>
    <row r="50" spans="1:8" x14ac:dyDescent="0.2">
      <c r="A50" s="51" t="s">
        <v>2</v>
      </c>
      <c r="B50" s="51" t="s">
        <v>3</v>
      </c>
      <c r="C50" s="51" t="s">
        <v>4</v>
      </c>
      <c r="D50" s="51" t="s">
        <v>5</v>
      </c>
      <c r="E50" s="51" t="s">
        <v>6</v>
      </c>
      <c r="F50" s="51" t="s">
        <v>146</v>
      </c>
      <c r="G50" s="13" t="s">
        <v>8</v>
      </c>
    </row>
    <row r="51" spans="1:8" ht="30" x14ac:dyDescent="0.3">
      <c r="A51" s="52">
        <v>1</v>
      </c>
      <c r="B51" s="53">
        <v>40553</v>
      </c>
      <c r="C51" s="17" t="s">
        <v>518</v>
      </c>
      <c r="D51" s="54">
        <v>40613</v>
      </c>
      <c r="E51" s="19" t="s">
        <v>511</v>
      </c>
      <c r="F51" s="20" t="s">
        <v>306</v>
      </c>
      <c r="G51" s="21">
        <v>23284.49</v>
      </c>
      <c r="H51" t="s">
        <v>519</v>
      </c>
    </row>
    <row r="52" spans="1:8" ht="30" x14ac:dyDescent="0.3">
      <c r="A52" s="52">
        <v>2</v>
      </c>
      <c r="B52" s="53">
        <v>40555</v>
      </c>
      <c r="C52" s="17" t="s">
        <v>520</v>
      </c>
      <c r="D52" s="54">
        <v>40615</v>
      </c>
      <c r="E52" s="19" t="s">
        <v>511</v>
      </c>
      <c r="F52" s="20" t="s">
        <v>306</v>
      </c>
      <c r="G52" s="21">
        <v>6991.49</v>
      </c>
      <c r="H52" t="s">
        <v>521</v>
      </c>
    </row>
    <row r="53" spans="1:8" ht="30" x14ac:dyDescent="0.3">
      <c r="A53" s="52">
        <v>3</v>
      </c>
      <c r="B53" s="53">
        <v>40585</v>
      </c>
      <c r="C53" s="17" t="s">
        <v>522</v>
      </c>
      <c r="D53" s="54">
        <v>40616</v>
      </c>
      <c r="E53" s="19" t="s">
        <v>523</v>
      </c>
      <c r="F53" s="20" t="s">
        <v>450</v>
      </c>
      <c r="G53" s="21">
        <v>3204.43</v>
      </c>
      <c r="H53" t="s">
        <v>524</v>
      </c>
    </row>
    <row r="54" spans="1:8" ht="15" x14ac:dyDescent="0.3">
      <c r="A54" s="52">
        <v>4</v>
      </c>
      <c r="B54" s="53">
        <v>40575</v>
      </c>
      <c r="C54" s="17" t="s">
        <v>525</v>
      </c>
      <c r="D54" s="54">
        <v>40620</v>
      </c>
      <c r="E54" s="19" t="s">
        <v>526</v>
      </c>
      <c r="F54" s="20" t="s">
        <v>149</v>
      </c>
      <c r="G54" s="21">
        <v>2752.41</v>
      </c>
      <c r="H54" t="s">
        <v>527</v>
      </c>
    </row>
    <row r="55" spans="1:8" ht="15" x14ac:dyDescent="0.3">
      <c r="A55" s="1"/>
      <c r="B55" s="37"/>
      <c r="C55" s="37"/>
      <c r="D55" s="37"/>
      <c r="E55" s="47"/>
      <c r="F55" s="51" t="s">
        <v>155</v>
      </c>
      <c r="G55" s="27">
        <f>SUM(G51:G54)</f>
        <v>36232.820000000007</v>
      </c>
    </row>
    <row r="58" spans="1:8" x14ac:dyDescent="0.2">
      <c r="B58" s="35"/>
    </row>
    <row r="59" spans="1:8" x14ac:dyDescent="0.2">
      <c r="B59" s="35"/>
    </row>
  </sheetData>
  <sheetProtection selectLockedCells="1" selectUnlockedCells="1"/>
  <mergeCells count="7">
    <mergeCell ref="A48:G48"/>
    <mergeCell ref="F1:G1"/>
    <mergeCell ref="A5:G5"/>
    <mergeCell ref="F23:G23"/>
    <mergeCell ref="A27:G27"/>
    <mergeCell ref="F44:G44"/>
    <mergeCell ref="A45:E45"/>
  </mergeCells>
  <printOptions horizontalCentered="1"/>
  <pageMargins left="0" right="0" top="0.98402777777777772" bottom="0.98402777777777772" header="0.51180555555555551" footer="0.51180555555555551"/>
  <pageSetup paperSize="9" scale="80" firstPageNumber="0" orientation="portrait" horizontalDpi="300" verticalDpi="300" r:id="rId1"/>
  <headerFooter alignWithMargins="0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2">
    <pageSetUpPr fitToPage="1"/>
  </sheetPr>
  <dimension ref="A1:M33"/>
  <sheetViews>
    <sheetView workbookViewId="0">
      <selection activeCell="G6" sqref="G6:J6"/>
    </sheetView>
  </sheetViews>
  <sheetFormatPr baseColWidth="10" defaultColWidth="10.7109375" defaultRowHeight="12.75" x14ac:dyDescent="0.2"/>
  <cols>
    <col min="1" max="1" width="3.85546875" customWidth="1"/>
    <col min="2" max="2" width="13.85546875" customWidth="1"/>
    <col min="3" max="3" width="18.140625" customWidth="1"/>
    <col min="4" max="4" width="13.7109375" customWidth="1"/>
    <col min="5" max="5" width="39" customWidth="1"/>
    <col min="6" max="6" width="37" customWidth="1"/>
    <col min="7" max="7" width="18.42578125" customWidth="1"/>
    <col min="8" max="8" width="16.85546875" customWidth="1"/>
    <col min="9" max="9" width="13.42578125" customWidth="1"/>
    <col min="10" max="10" width="10.7109375" customWidth="1"/>
    <col min="11" max="11" width="18.140625" customWidth="1"/>
    <col min="12" max="12" width="7.28515625" customWidth="1"/>
    <col min="13" max="13" width="9" customWidth="1"/>
  </cols>
  <sheetData>
    <row r="1" spans="1:13" ht="16.5" customHeight="1" x14ac:dyDescent="0.3">
      <c r="A1" s="1"/>
      <c r="B1" s="2"/>
      <c r="C1" s="3"/>
      <c r="D1" s="4"/>
      <c r="E1" s="5"/>
      <c r="F1" s="222" t="s">
        <v>0</v>
      </c>
      <c r="G1" s="222"/>
      <c r="H1" s="222"/>
      <c r="I1" s="222"/>
      <c r="J1" s="222"/>
      <c r="K1" s="222"/>
    </row>
    <row r="2" spans="1:13" ht="18.75" x14ac:dyDescent="0.3">
      <c r="A2" s="111" t="s">
        <v>1</v>
      </c>
      <c r="B2" s="7"/>
      <c r="C2" s="3"/>
      <c r="D2" s="4"/>
      <c r="E2" s="5"/>
      <c r="F2" s="5"/>
      <c r="G2" s="5"/>
      <c r="H2" s="5"/>
      <c r="I2" s="5"/>
      <c r="J2" s="5"/>
    </row>
    <row r="3" spans="1:13" ht="15" x14ac:dyDescent="0.3">
      <c r="A3" s="1"/>
      <c r="B3" s="2"/>
      <c r="C3" s="3"/>
      <c r="D3" s="4"/>
      <c r="E3" s="5"/>
      <c r="F3" s="5"/>
      <c r="G3" s="5"/>
      <c r="H3" s="5"/>
      <c r="I3" s="5"/>
      <c r="J3" s="5"/>
    </row>
    <row r="4" spans="1:13" ht="18" x14ac:dyDescent="0.25">
      <c r="A4" s="208" t="s">
        <v>2796</v>
      </c>
      <c r="B4" s="208"/>
      <c r="C4" s="208"/>
      <c r="D4" s="208"/>
      <c r="E4" s="208"/>
      <c r="F4" s="208"/>
      <c r="G4" s="208"/>
      <c r="H4" s="208"/>
      <c r="I4" s="208"/>
      <c r="J4" s="208"/>
      <c r="K4" s="208"/>
    </row>
    <row r="5" spans="1:13" ht="15" x14ac:dyDescent="0.3">
      <c r="A5" s="1"/>
      <c r="B5" s="9"/>
      <c r="C5" s="9"/>
      <c r="D5" s="9"/>
      <c r="E5" s="9"/>
      <c r="F5" s="10"/>
      <c r="G5" s="10"/>
      <c r="H5" s="10"/>
      <c r="I5" s="10"/>
      <c r="J5" s="10"/>
    </row>
    <row r="6" spans="1:13" x14ac:dyDescent="0.2">
      <c r="A6" s="112" t="s">
        <v>2</v>
      </c>
      <c r="B6" s="128" t="s">
        <v>3</v>
      </c>
      <c r="C6" s="126" t="s">
        <v>4</v>
      </c>
      <c r="D6" s="129" t="s">
        <v>5</v>
      </c>
      <c r="E6" s="126" t="s">
        <v>6</v>
      </c>
      <c r="F6" s="126" t="s">
        <v>7</v>
      </c>
      <c r="G6" s="126" t="s">
        <v>2783</v>
      </c>
      <c r="H6" s="126" t="s">
        <v>2785</v>
      </c>
      <c r="I6" s="126" t="s">
        <v>158</v>
      </c>
      <c r="J6" s="126" t="s">
        <v>2784</v>
      </c>
      <c r="K6" s="126" t="s">
        <v>32</v>
      </c>
    </row>
    <row r="7" spans="1:13" s="60" customFormat="1" ht="15" x14ac:dyDescent="0.3">
      <c r="A7" s="132">
        <v>1</v>
      </c>
      <c r="B7" s="133">
        <v>42118</v>
      </c>
      <c r="C7" s="134" t="s">
        <v>2902</v>
      </c>
      <c r="D7" s="137">
        <f>B7+15</f>
        <v>42133</v>
      </c>
      <c r="E7" s="135" t="s">
        <v>2883</v>
      </c>
      <c r="F7" s="136" t="s">
        <v>2903</v>
      </c>
      <c r="G7" s="136"/>
      <c r="H7" s="136"/>
      <c r="I7" s="136"/>
      <c r="J7" s="136"/>
      <c r="K7" s="154">
        <v>17.7</v>
      </c>
    </row>
    <row r="8" spans="1:13" s="60" customFormat="1" ht="15" x14ac:dyDescent="0.3">
      <c r="A8" s="132">
        <v>2</v>
      </c>
      <c r="B8" s="133">
        <v>42118</v>
      </c>
      <c r="C8" s="134" t="s">
        <v>2904</v>
      </c>
      <c r="D8" s="137">
        <f t="shared" ref="D8:D9" si="0">B8+15</f>
        <v>42133</v>
      </c>
      <c r="E8" s="135" t="s">
        <v>2883</v>
      </c>
      <c r="F8" s="136" t="s">
        <v>41</v>
      </c>
      <c r="G8" s="136"/>
      <c r="H8" s="136"/>
      <c r="I8" s="136"/>
      <c r="J8" s="136"/>
      <c r="K8" s="154">
        <v>127.79</v>
      </c>
    </row>
    <row r="9" spans="1:13" s="60" customFormat="1" ht="15" x14ac:dyDescent="0.3">
      <c r="A9" s="132">
        <v>3</v>
      </c>
      <c r="B9" s="133">
        <v>42114</v>
      </c>
      <c r="C9" s="134" t="s">
        <v>2905</v>
      </c>
      <c r="D9" s="137">
        <f t="shared" si="0"/>
        <v>42129</v>
      </c>
      <c r="E9" s="135" t="s">
        <v>49</v>
      </c>
      <c r="F9" s="136" t="s">
        <v>2874</v>
      </c>
      <c r="G9" s="136"/>
      <c r="H9" s="136"/>
      <c r="I9" s="136"/>
      <c r="J9" s="136"/>
      <c r="K9" s="154">
        <v>740</v>
      </c>
      <c r="L9" s="164">
        <f>K9*3%</f>
        <v>22.2</v>
      </c>
      <c r="M9" s="131">
        <f>K9-L9</f>
        <v>717.8</v>
      </c>
    </row>
    <row r="10" spans="1:13" s="60" customFormat="1" ht="15" x14ac:dyDescent="0.3">
      <c r="A10" s="132">
        <v>4</v>
      </c>
      <c r="B10" s="150">
        <v>42143</v>
      </c>
      <c r="C10" s="151" t="s">
        <v>2782</v>
      </c>
      <c r="D10" s="197"/>
      <c r="E10" s="149"/>
      <c r="F10" s="152"/>
      <c r="G10" s="152"/>
      <c r="H10" s="152"/>
      <c r="I10" s="152"/>
      <c r="J10" s="152"/>
      <c r="K10" s="153">
        <v>-22.2</v>
      </c>
    </row>
    <row r="11" spans="1:13" s="60" customFormat="1" ht="15" customHeight="1" x14ac:dyDescent="0.3">
      <c r="A11" s="132">
        <v>5</v>
      </c>
      <c r="B11" s="133">
        <v>42117</v>
      </c>
      <c r="C11" s="134" t="s">
        <v>2906</v>
      </c>
      <c r="D11" s="137">
        <f>B11+15</f>
        <v>42132</v>
      </c>
      <c r="E11" s="135" t="s">
        <v>2907</v>
      </c>
      <c r="F11" s="136" t="s">
        <v>2908</v>
      </c>
      <c r="G11" s="136"/>
      <c r="H11" s="136"/>
      <c r="I11" s="136"/>
      <c r="J11" s="136"/>
      <c r="K11" s="154">
        <v>708.4</v>
      </c>
      <c r="L11" s="164">
        <f>K11*3%</f>
        <v>21.251999999999999</v>
      </c>
      <c r="M11" s="131">
        <f>K11-L11</f>
        <v>687.14800000000002</v>
      </c>
    </row>
    <row r="12" spans="1:13" s="60" customFormat="1" ht="15" x14ac:dyDescent="0.3">
      <c r="A12" s="132">
        <v>6</v>
      </c>
      <c r="B12" s="133">
        <v>42128</v>
      </c>
      <c r="C12" s="134" t="s">
        <v>2909</v>
      </c>
      <c r="D12" s="137">
        <f t="shared" ref="D12:D18" si="1">B12+15</f>
        <v>42143</v>
      </c>
      <c r="E12" s="135" t="s">
        <v>2907</v>
      </c>
      <c r="F12" s="136" t="s">
        <v>2910</v>
      </c>
      <c r="G12" s="136"/>
      <c r="H12" s="136"/>
      <c r="I12" s="136"/>
      <c r="J12" s="136"/>
      <c r="K12" s="154">
        <v>184</v>
      </c>
      <c r="L12" s="164">
        <f>K12*3%</f>
        <v>5.52</v>
      </c>
      <c r="M12" s="131">
        <f>K12-L12</f>
        <v>178.48</v>
      </c>
    </row>
    <row r="13" spans="1:13" s="60" customFormat="1" ht="15" x14ac:dyDescent="0.3">
      <c r="A13" s="132">
        <v>7</v>
      </c>
      <c r="B13" s="150">
        <v>42143</v>
      </c>
      <c r="C13" s="151" t="s">
        <v>2782</v>
      </c>
      <c r="D13" s="197"/>
      <c r="E13" s="149"/>
      <c r="F13" s="152"/>
      <c r="G13" s="152"/>
      <c r="H13" s="152"/>
      <c r="I13" s="152"/>
      <c r="J13" s="152"/>
      <c r="K13" s="153">
        <v>-26.77</v>
      </c>
    </row>
    <row r="14" spans="1:13" s="60" customFormat="1" ht="15" customHeight="1" x14ac:dyDescent="0.3">
      <c r="A14" s="132">
        <v>8</v>
      </c>
      <c r="B14" s="173">
        <v>42123</v>
      </c>
      <c r="C14" s="168" t="s">
        <v>2911</v>
      </c>
      <c r="D14" s="137">
        <f t="shared" si="1"/>
        <v>42138</v>
      </c>
      <c r="E14" s="156" t="s">
        <v>2886</v>
      </c>
      <c r="F14" s="136" t="s">
        <v>2912</v>
      </c>
      <c r="G14" s="136"/>
      <c r="H14" s="136"/>
      <c r="I14" s="136"/>
      <c r="J14" s="136"/>
      <c r="K14" s="154">
        <v>3422</v>
      </c>
      <c r="L14" s="164">
        <f>K14*3%</f>
        <v>102.66</v>
      </c>
      <c r="M14" s="131">
        <f>K14-L14</f>
        <v>3319.34</v>
      </c>
    </row>
    <row r="15" spans="1:13" s="60" customFormat="1" ht="15" x14ac:dyDescent="0.3">
      <c r="A15" s="132">
        <v>9</v>
      </c>
      <c r="B15" s="150">
        <v>42143</v>
      </c>
      <c r="C15" s="151" t="s">
        <v>2782</v>
      </c>
      <c r="D15" s="197"/>
      <c r="E15" s="149"/>
      <c r="F15" s="152"/>
      <c r="G15" s="152"/>
      <c r="H15" s="152"/>
      <c r="I15" s="152"/>
      <c r="J15" s="152"/>
      <c r="K15" s="153">
        <v>-102.66</v>
      </c>
    </row>
    <row r="16" spans="1:13" s="60" customFormat="1" ht="15" x14ac:dyDescent="0.3">
      <c r="A16" s="132">
        <v>10</v>
      </c>
      <c r="B16" s="133">
        <v>42095</v>
      </c>
      <c r="C16" s="134" t="s">
        <v>2913</v>
      </c>
      <c r="D16" s="137">
        <f t="shared" si="1"/>
        <v>42110</v>
      </c>
      <c r="E16" s="135" t="s">
        <v>2914</v>
      </c>
      <c r="F16" s="136" t="s">
        <v>2915</v>
      </c>
      <c r="G16" s="136"/>
      <c r="H16" s="136"/>
      <c r="I16" s="136"/>
      <c r="J16" s="136"/>
      <c r="K16" s="154">
        <v>251.34</v>
      </c>
    </row>
    <row r="17" spans="1:11" s="60" customFormat="1" ht="15" x14ac:dyDescent="0.3">
      <c r="A17" s="132">
        <v>11</v>
      </c>
      <c r="B17" s="133">
        <v>42118</v>
      </c>
      <c r="C17" s="134" t="s">
        <v>2916</v>
      </c>
      <c r="D17" s="137">
        <f t="shared" si="1"/>
        <v>42133</v>
      </c>
      <c r="E17" s="135" t="s">
        <v>2786</v>
      </c>
      <c r="F17" s="136" t="s">
        <v>2917</v>
      </c>
      <c r="G17" s="136"/>
      <c r="H17" s="136"/>
      <c r="I17" s="136"/>
      <c r="J17" s="136"/>
      <c r="K17" s="154">
        <v>204.04</v>
      </c>
    </row>
    <row r="18" spans="1:11" s="60" customFormat="1" ht="15" x14ac:dyDescent="0.3">
      <c r="A18" s="132">
        <v>12</v>
      </c>
      <c r="B18" s="133">
        <v>42122</v>
      </c>
      <c r="C18" s="134" t="s">
        <v>2918</v>
      </c>
      <c r="D18" s="137">
        <f t="shared" si="1"/>
        <v>42137</v>
      </c>
      <c r="E18" s="135" t="s">
        <v>2786</v>
      </c>
      <c r="F18" s="136" t="s">
        <v>2917</v>
      </c>
      <c r="G18" s="136"/>
      <c r="H18" s="136"/>
      <c r="I18" s="136"/>
      <c r="J18" s="136"/>
      <c r="K18" s="154">
        <v>204.04</v>
      </c>
    </row>
    <row r="19" spans="1:11" s="60" customFormat="1" ht="25.5" x14ac:dyDescent="0.3">
      <c r="A19" s="132">
        <v>13</v>
      </c>
      <c r="B19" s="198">
        <v>42095</v>
      </c>
      <c r="C19" s="199" t="s">
        <v>2923</v>
      </c>
      <c r="D19" s="137">
        <v>42095</v>
      </c>
      <c r="E19" s="200" t="s">
        <v>2919</v>
      </c>
      <c r="F19" s="201" t="s">
        <v>2920</v>
      </c>
      <c r="G19" s="202"/>
      <c r="H19" s="204"/>
      <c r="I19" s="136"/>
      <c r="J19" s="136"/>
      <c r="K19" s="203">
        <v>909.78</v>
      </c>
    </row>
    <row r="20" spans="1:11" s="60" customFormat="1" ht="15" x14ac:dyDescent="0.3">
      <c r="A20" s="132">
        <v>14</v>
      </c>
      <c r="B20" s="185">
        <v>42130</v>
      </c>
      <c r="C20" s="186" t="s">
        <v>2817</v>
      </c>
      <c r="D20" s="205"/>
      <c r="E20" s="188"/>
      <c r="F20" s="189"/>
      <c r="G20" s="189"/>
      <c r="H20" s="189"/>
      <c r="I20" s="189"/>
      <c r="J20" s="189"/>
      <c r="K20" s="190">
        <v>-90.98</v>
      </c>
    </row>
    <row r="21" spans="1:11" s="60" customFormat="1" ht="25.5" x14ac:dyDescent="0.3">
      <c r="A21" s="132">
        <v>15</v>
      </c>
      <c r="B21" s="198">
        <v>42095</v>
      </c>
      <c r="C21" s="199" t="s">
        <v>2924</v>
      </c>
      <c r="D21" s="137">
        <v>42095</v>
      </c>
      <c r="E21" s="200" t="s">
        <v>2919</v>
      </c>
      <c r="F21" s="201" t="s">
        <v>2921</v>
      </c>
      <c r="G21" s="202"/>
      <c r="H21" s="204"/>
      <c r="I21" s="136"/>
      <c r="J21" s="136"/>
      <c r="K21" s="203">
        <v>197.06</v>
      </c>
    </row>
    <row r="22" spans="1:11" s="60" customFormat="1" ht="25.5" x14ac:dyDescent="0.3">
      <c r="A22" s="132">
        <v>16</v>
      </c>
      <c r="B22" s="198">
        <v>42095</v>
      </c>
      <c r="C22" s="199" t="s">
        <v>2925</v>
      </c>
      <c r="D22" s="137">
        <v>42095</v>
      </c>
      <c r="E22" s="200" t="s">
        <v>2919</v>
      </c>
      <c r="F22" s="201" t="s">
        <v>2922</v>
      </c>
      <c r="G22" s="202"/>
      <c r="H22" s="204"/>
      <c r="I22" s="136"/>
      <c r="J22" s="136"/>
      <c r="K22" s="203">
        <v>64.900000000000006</v>
      </c>
    </row>
    <row r="23" spans="1:11" s="60" customFormat="1" ht="15" x14ac:dyDescent="0.3">
      <c r="A23" s="132">
        <v>17</v>
      </c>
      <c r="B23" s="133">
        <v>42123</v>
      </c>
      <c r="C23" s="134" t="s">
        <v>2948</v>
      </c>
      <c r="D23" s="137">
        <f>B23+15</f>
        <v>42138</v>
      </c>
      <c r="E23" s="135" t="s">
        <v>2949</v>
      </c>
      <c r="F23" s="136" t="s">
        <v>2843</v>
      </c>
      <c r="G23" s="246" t="s">
        <v>2829</v>
      </c>
      <c r="H23" s="246" t="s">
        <v>2952</v>
      </c>
      <c r="I23" s="246" t="s">
        <v>2951</v>
      </c>
      <c r="J23" s="246">
        <v>43155</v>
      </c>
      <c r="K23" s="154">
        <v>413</v>
      </c>
    </row>
    <row r="24" spans="1:11" s="60" customFormat="1" ht="15" x14ac:dyDescent="0.3">
      <c r="A24" s="132">
        <v>18</v>
      </c>
      <c r="B24" s="185">
        <v>42135</v>
      </c>
      <c r="C24" s="186" t="s">
        <v>2817</v>
      </c>
      <c r="D24" s="205"/>
      <c r="E24" s="188"/>
      <c r="F24" s="189"/>
      <c r="G24" s="241"/>
      <c r="H24" s="241"/>
      <c r="I24" s="241"/>
      <c r="J24" s="241"/>
      <c r="K24" s="190">
        <v>-16.52</v>
      </c>
    </row>
    <row r="25" spans="1:11" s="60" customFormat="1" ht="15" x14ac:dyDescent="0.3">
      <c r="A25" s="132">
        <v>19</v>
      </c>
      <c r="B25" s="133">
        <v>42123</v>
      </c>
      <c r="C25" s="134" t="s">
        <v>2950</v>
      </c>
      <c r="D25" s="137">
        <f>B25+15</f>
        <v>42138</v>
      </c>
      <c r="E25" s="135" t="s">
        <v>2833</v>
      </c>
      <c r="F25" s="136" t="s">
        <v>2834</v>
      </c>
      <c r="G25" s="241"/>
      <c r="H25" s="241"/>
      <c r="I25" s="241"/>
      <c r="J25" s="241"/>
      <c r="K25" s="154">
        <v>1840.8</v>
      </c>
    </row>
    <row r="26" spans="1:11" s="60" customFormat="1" ht="15" x14ac:dyDescent="0.3">
      <c r="A26" s="132">
        <v>20</v>
      </c>
      <c r="B26" s="185">
        <v>42135</v>
      </c>
      <c r="C26" s="186" t="s">
        <v>2817</v>
      </c>
      <c r="D26" s="205"/>
      <c r="E26" s="188"/>
      <c r="F26" s="189"/>
      <c r="G26" s="242"/>
      <c r="H26" s="242"/>
      <c r="I26" s="242"/>
      <c r="J26" s="242"/>
      <c r="K26" s="190">
        <v>-184.08</v>
      </c>
    </row>
    <row r="27" spans="1:11" ht="15" customHeight="1" x14ac:dyDescent="0.3">
      <c r="A27" s="132"/>
      <c r="B27" s="118"/>
      <c r="C27" s="118"/>
      <c r="D27" s="118"/>
      <c r="I27" s="217" t="s">
        <v>2781</v>
      </c>
      <c r="J27" s="218"/>
      <c r="K27" s="141">
        <f>SUM(K7:K26)</f>
        <v>8841.64</v>
      </c>
    </row>
    <row r="28" spans="1:11" ht="15" customHeight="1" x14ac:dyDescent="0.2"/>
    <row r="29" spans="1:11" ht="15" customHeight="1" x14ac:dyDescent="0.2"/>
    <row r="30" spans="1:11" ht="15" customHeight="1" x14ac:dyDescent="0.2"/>
    <row r="31" spans="1:11" ht="15" customHeight="1" x14ac:dyDescent="0.2"/>
    <row r="32" spans="1:11" ht="15" customHeight="1" x14ac:dyDescent="0.2"/>
    <row r="33" ht="15" customHeight="1" x14ac:dyDescent="0.2"/>
  </sheetData>
  <sheetProtection selectLockedCells="1" selectUnlockedCells="1"/>
  <mergeCells count="7">
    <mergeCell ref="F1:K1"/>
    <mergeCell ref="A4:K4"/>
    <mergeCell ref="I27:J27"/>
    <mergeCell ref="J23:J26"/>
    <mergeCell ref="I23:I26"/>
    <mergeCell ref="H23:H26"/>
    <mergeCell ref="G23:G26"/>
  </mergeCells>
  <printOptions horizontalCentered="1"/>
  <pageMargins left="0" right="0" top="0" bottom="0" header="0.51180555555555551" footer="0.51180555555555551"/>
  <pageSetup paperSize="9" scale="67" firstPageNumber="0" orientation="landscape" horizontalDpi="300" verticalDpi="300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3">
    <pageSetUpPr fitToPage="1"/>
  </sheetPr>
  <dimension ref="A1:K28"/>
  <sheetViews>
    <sheetView workbookViewId="0">
      <selection activeCell="F20" sqref="F20"/>
    </sheetView>
  </sheetViews>
  <sheetFormatPr baseColWidth="10" defaultColWidth="10.7109375" defaultRowHeight="12.75" x14ac:dyDescent="0.2"/>
  <cols>
    <col min="1" max="1" width="4.5703125" customWidth="1"/>
    <col min="2" max="2" width="15.42578125" customWidth="1"/>
    <col min="3" max="3" width="18.5703125" customWidth="1"/>
    <col min="4" max="4" width="16.5703125" customWidth="1"/>
    <col min="5" max="5" width="27" customWidth="1"/>
    <col min="6" max="6" width="40.7109375" customWidth="1"/>
    <col min="7" max="7" width="18.140625" customWidth="1"/>
    <col min="8" max="8" width="15.7109375" customWidth="1"/>
    <col min="9" max="9" width="14.5703125" customWidth="1"/>
    <col min="10" max="10" width="17.85546875" customWidth="1"/>
    <col min="11" max="11" width="14.85546875" bestFit="1" customWidth="1"/>
  </cols>
  <sheetData>
    <row r="1" spans="1:11" ht="15" customHeight="1" x14ac:dyDescent="0.3">
      <c r="A1" s="1"/>
      <c r="B1" s="2"/>
      <c r="C1" s="3"/>
      <c r="D1" s="4"/>
      <c r="E1" s="5"/>
      <c r="F1" s="222" t="s">
        <v>0</v>
      </c>
      <c r="G1" s="222"/>
      <c r="H1" s="222"/>
      <c r="I1" s="222"/>
      <c r="J1" s="222"/>
      <c r="K1" s="222"/>
    </row>
    <row r="2" spans="1:11" ht="18.75" x14ac:dyDescent="0.3">
      <c r="A2" s="120" t="s">
        <v>1</v>
      </c>
      <c r="B2" s="7"/>
      <c r="C2" s="3"/>
      <c r="D2" s="4"/>
      <c r="E2" s="5"/>
    </row>
    <row r="3" spans="1:11" ht="15" x14ac:dyDescent="0.3">
      <c r="A3" s="1"/>
      <c r="B3" s="2"/>
      <c r="C3" s="3"/>
      <c r="D3" s="4"/>
      <c r="E3" s="5"/>
      <c r="F3" s="5"/>
      <c r="G3" s="5"/>
      <c r="H3" s="5"/>
      <c r="I3" s="5"/>
      <c r="J3" s="5"/>
      <c r="K3" s="5"/>
    </row>
    <row r="4" spans="1:11" ht="15" x14ac:dyDescent="0.3">
      <c r="A4" s="1"/>
      <c r="B4" s="2"/>
      <c r="C4" s="3"/>
      <c r="D4" s="4"/>
      <c r="E4" s="5"/>
      <c r="F4" s="5"/>
      <c r="G4" s="5"/>
      <c r="H4" s="5"/>
      <c r="I4" s="5"/>
      <c r="J4" s="5"/>
      <c r="K4" s="5"/>
    </row>
    <row r="5" spans="1:11" ht="18" x14ac:dyDescent="0.25">
      <c r="A5" s="208" t="s">
        <v>2797</v>
      </c>
      <c r="B5" s="208"/>
      <c r="C5" s="208"/>
      <c r="D5" s="208"/>
      <c r="E5" s="208"/>
      <c r="F5" s="208"/>
      <c r="G5" s="208"/>
      <c r="H5" s="208"/>
      <c r="I5" s="208"/>
      <c r="J5" s="208"/>
      <c r="K5" s="208"/>
    </row>
    <row r="6" spans="1:11" ht="15" x14ac:dyDescent="0.3">
      <c r="A6" s="1"/>
      <c r="B6" s="9"/>
      <c r="C6" s="9"/>
      <c r="D6" s="9"/>
      <c r="E6" s="9"/>
      <c r="F6" s="10"/>
      <c r="G6" s="10"/>
      <c r="H6" s="10"/>
      <c r="I6" s="10"/>
      <c r="J6" s="10"/>
      <c r="K6" s="121"/>
    </row>
    <row r="7" spans="1:11" x14ac:dyDescent="0.2">
      <c r="A7" s="128" t="s">
        <v>2</v>
      </c>
      <c r="B7" s="128" t="s">
        <v>3</v>
      </c>
      <c r="C7" s="126" t="s">
        <v>4</v>
      </c>
      <c r="D7" s="129" t="s">
        <v>5</v>
      </c>
      <c r="E7" s="126" t="s">
        <v>6</v>
      </c>
      <c r="F7" s="126" t="s">
        <v>7</v>
      </c>
      <c r="G7" s="126" t="s">
        <v>2783</v>
      </c>
      <c r="H7" s="126" t="s">
        <v>2785</v>
      </c>
      <c r="I7" s="126" t="s">
        <v>158</v>
      </c>
      <c r="J7" s="126" t="s">
        <v>2784</v>
      </c>
      <c r="K7" s="126" t="s">
        <v>8</v>
      </c>
    </row>
    <row r="8" spans="1:11" s="60" customFormat="1" ht="15" customHeight="1" x14ac:dyDescent="0.3">
      <c r="A8" s="130">
        <v>1</v>
      </c>
      <c r="B8" s="138">
        <v>42114</v>
      </c>
      <c r="C8" s="139" t="s">
        <v>2926</v>
      </c>
      <c r="D8" s="137">
        <f>B8+60</f>
        <v>42174</v>
      </c>
      <c r="E8" s="135" t="s">
        <v>1798</v>
      </c>
      <c r="F8" s="135" t="s">
        <v>2927</v>
      </c>
      <c r="G8" s="135"/>
      <c r="H8" s="135"/>
      <c r="I8" s="135"/>
      <c r="J8" s="135"/>
      <c r="K8" s="140">
        <v>284.62</v>
      </c>
    </row>
    <row r="9" spans="1:11" s="60" customFormat="1" ht="15" customHeight="1" x14ac:dyDescent="0.3">
      <c r="A9" s="130">
        <v>2</v>
      </c>
      <c r="B9" s="138">
        <v>42109</v>
      </c>
      <c r="C9" s="139" t="s">
        <v>2928</v>
      </c>
      <c r="D9" s="137">
        <f t="shared" ref="D9:D11" si="0">B9+15</f>
        <v>42124</v>
      </c>
      <c r="E9" s="135" t="s">
        <v>2848</v>
      </c>
      <c r="F9" s="135" t="s">
        <v>2908</v>
      </c>
      <c r="G9" s="135"/>
      <c r="H9" s="135"/>
      <c r="I9" s="135"/>
      <c r="J9" s="135"/>
      <c r="K9" s="140">
        <v>370.13</v>
      </c>
    </row>
    <row r="10" spans="1:11" s="60" customFormat="1" ht="15" customHeight="1" x14ac:dyDescent="0.3">
      <c r="A10" s="130">
        <v>3</v>
      </c>
      <c r="B10" s="138">
        <v>42117</v>
      </c>
      <c r="C10" s="139" t="s">
        <v>2929</v>
      </c>
      <c r="D10" s="137">
        <f>B10+30</f>
        <v>42147</v>
      </c>
      <c r="E10" s="135" t="s">
        <v>2848</v>
      </c>
      <c r="F10" s="135" t="s">
        <v>2908</v>
      </c>
      <c r="G10" s="135"/>
      <c r="H10" s="135"/>
      <c r="I10" s="135"/>
      <c r="J10" s="135"/>
      <c r="K10" s="140">
        <v>76.819999999999993</v>
      </c>
    </row>
    <row r="11" spans="1:11" s="60" customFormat="1" ht="15" customHeight="1" x14ac:dyDescent="0.3">
      <c r="A11" s="130">
        <v>4</v>
      </c>
      <c r="B11" s="170">
        <v>42103</v>
      </c>
      <c r="C11" s="168" t="s">
        <v>2930</v>
      </c>
      <c r="D11" s="137">
        <f t="shared" si="0"/>
        <v>42118</v>
      </c>
      <c r="E11" s="156" t="s">
        <v>702</v>
      </c>
      <c r="F11" s="135" t="s">
        <v>2931</v>
      </c>
      <c r="G11" s="135"/>
      <c r="H11" s="135"/>
      <c r="I11" s="135"/>
      <c r="J11" s="135"/>
      <c r="K11" s="140">
        <v>188.8</v>
      </c>
    </row>
    <row r="12" spans="1:11" s="60" customFormat="1" ht="15" customHeight="1" x14ac:dyDescent="0.3">
      <c r="A12" s="130">
        <v>5</v>
      </c>
      <c r="B12" s="170">
        <v>42123</v>
      </c>
      <c r="C12" s="168" t="s">
        <v>2953</v>
      </c>
      <c r="D12" s="137">
        <f>B12+15</f>
        <v>42138</v>
      </c>
      <c r="E12" s="156" t="s">
        <v>2949</v>
      </c>
      <c r="F12" s="135" t="s">
        <v>2854</v>
      </c>
      <c r="G12" s="246" t="s">
        <v>2829</v>
      </c>
      <c r="H12" s="246" t="s">
        <v>2952</v>
      </c>
      <c r="I12" s="246" t="s">
        <v>2951</v>
      </c>
      <c r="J12" s="246">
        <v>43155</v>
      </c>
      <c r="K12" s="140">
        <v>149.33000000000001</v>
      </c>
    </row>
    <row r="13" spans="1:11" s="60" customFormat="1" ht="15" customHeight="1" x14ac:dyDescent="0.3">
      <c r="A13" s="130">
        <v>6</v>
      </c>
      <c r="B13" s="170">
        <v>42123</v>
      </c>
      <c r="C13" s="168" t="s">
        <v>2954</v>
      </c>
      <c r="D13" s="137">
        <f>B13+15</f>
        <v>42138</v>
      </c>
      <c r="E13" s="156" t="s">
        <v>2949</v>
      </c>
      <c r="F13" s="135" t="s">
        <v>2955</v>
      </c>
      <c r="G13" s="241"/>
      <c r="H13" s="241"/>
      <c r="I13" s="241"/>
      <c r="J13" s="241"/>
      <c r="K13" s="140">
        <v>14.75</v>
      </c>
    </row>
    <row r="14" spans="1:11" s="60" customFormat="1" ht="15" customHeight="1" x14ac:dyDescent="0.3">
      <c r="A14" s="130">
        <v>7</v>
      </c>
      <c r="B14" s="170">
        <v>42110</v>
      </c>
      <c r="C14" s="168" t="s">
        <v>2956</v>
      </c>
      <c r="D14" s="137">
        <f>B14+15</f>
        <v>42125</v>
      </c>
      <c r="E14" s="156" t="s">
        <v>2833</v>
      </c>
      <c r="F14" s="135" t="s">
        <v>2862</v>
      </c>
      <c r="G14" s="241"/>
      <c r="H14" s="241"/>
      <c r="I14" s="241"/>
      <c r="J14" s="241"/>
      <c r="K14" s="140">
        <v>23.6</v>
      </c>
    </row>
    <row r="15" spans="1:11" s="60" customFormat="1" ht="15" customHeight="1" x14ac:dyDescent="0.3">
      <c r="A15" s="130">
        <v>8</v>
      </c>
      <c r="B15" s="170">
        <v>42110</v>
      </c>
      <c r="C15" s="168" t="s">
        <v>2957</v>
      </c>
      <c r="D15" s="137">
        <f>B15+15</f>
        <v>42125</v>
      </c>
      <c r="E15" s="156" t="s">
        <v>2833</v>
      </c>
      <c r="F15" s="135" t="s">
        <v>2958</v>
      </c>
      <c r="G15" s="242"/>
      <c r="H15" s="242"/>
      <c r="I15" s="242"/>
      <c r="J15" s="242"/>
      <c r="K15" s="140">
        <v>1700</v>
      </c>
    </row>
    <row r="16" spans="1:11" ht="15" customHeight="1" x14ac:dyDescent="0.25">
      <c r="A16" s="22"/>
      <c r="C16" s="124"/>
      <c r="D16" s="124"/>
      <c r="I16" s="247" t="s">
        <v>24</v>
      </c>
      <c r="J16" s="247"/>
      <c r="K16" s="127">
        <f>SUM(K8:K15)</f>
        <v>2808.0499999999997</v>
      </c>
    </row>
    <row r="28" spans="3:4" x14ac:dyDescent="0.2">
      <c r="C28" s="184"/>
      <c r="D28" s="184"/>
    </row>
  </sheetData>
  <sheetProtection selectLockedCells="1" selectUnlockedCells="1"/>
  <mergeCells count="7">
    <mergeCell ref="F1:K1"/>
    <mergeCell ref="A5:K5"/>
    <mergeCell ref="I16:J16"/>
    <mergeCell ref="J12:J15"/>
    <mergeCell ref="I12:I15"/>
    <mergeCell ref="H12:H15"/>
    <mergeCell ref="G12:G15"/>
  </mergeCells>
  <printOptions horizontalCentered="1"/>
  <pageMargins left="0.31527777777777777" right="0.31527777777777777" top="0.35416666666666669" bottom="0.35416666666666669" header="0.51180555555555551" footer="0.51180555555555551"/>
  <pageSetup paperSize="9" scale="70" firstPageNumber="0" orientation="landscape" horizontalDpi="300" verticalDpi="300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2"/>
  <sheetViews>
    <sheetView tabSelected="1" topLeftCell="A4" workbookViewId="0">
      <selection activeCell="E29" sqref="E29"/>
    </sheetView>
  </sheetViews>
  <sheetFormatPr baseColWidth="10" defaultColWidth="10.7109375" defaultRowHeight="12.75" x14ac:dyDescent="0.2"/>
  <cols>
    <col min="1" max="1" width="4.140625" customWidth="1"/>
    <col min="2" max="2" width="15.28515625" customWidth="1"/>
    <col min="3" max="3" width="17.85546875" customWidth="1"/>
    <col min="4" max="4" width="16" customWidth="1"/>
    <col min="5" max="5" width="31.42578125" customWidth="1"/>
    <col min="6" max="6" width="48.140625" customWidth="1"/>
    <col min="7" max="7" width="17.42578125" customWidth="1"/>
    <col min="8" max="8" width="13" customWidth="1"/>
    <col min="9" max="9" width="13.140625" customWidth="1"/>
    <col min="10" max="10" width="11.28515625" customWidth="1"/>
    <col min="11" max="11" width="14.7109375" customWidth="1"/>
    <col min="12" max="12" width="8" customWidth="1"/>
    <col min="13" max="13" width="9.42578125" customWidth="1"/>
  </cols>
  <sheetData>
    <row r="1" spans="1:13" ht="15" customHeight="1" x14ac:dyDescent="0.3">
      <c r="A1" s="1"/>
      <c r="B1" s="2"/>
      <c r="C1" s="3"/>
      <c r="D1" s="4"/>
      <c r="E1" s="5"/>
      <c r="F1" s="222" t="s">
        <v>0</v>
      </c>
      <c r="G1" s="222"/>
      <c r="H1" s="222"/>
      <c r="I1" s="222"/>
      <c r="J1" s="222"/>
      <c r="K1" s="222"/>
    </row>
    <row r="2" spans="1:13" ht="18.75" x14ac:dyDescent="0.3">
      <c r="A2" s="111" t="s">
        <v>1</v>
      </c>
      <c r="B2" s="7"/>
      <c r="C2" s="3"/>
      <c r="D2" s="4"/>
      <c r="E2" s="5"/>
      <c r="F2" s="5"/>
      <c r="G2" s="5"/>
      <c r="H2" s="5"/>
      <c r="I2" s="5"/>
      <c r="J2" s="5"/>
    </row>
    <row r="3" spans="1:13" ht="15" x14ac:dyDescent="0.3">
      <c r="A3" s="1"/>
      <c r="B3" s="2"/>
      <c r="C3" s="3"/>
      <c r="D3" s="4"/>
      <c r="E3" s="5"/>
      <c r="F3" s="5"/>
      <c r="G3" s="5"/>
      <c r="H3" s="5"/>
      <c r="I3" s="5"/>
      <c r="J3" s="5"/>
    </row>
    <row r="4" spans="1:13" ht="18" x14ac:dyDescent="0.25">
      <c r="A4" s="208" t="s">
        <v>2799</v>
      </c>
      <c r="B4" s="208"/>
      <c r="C4" s="208"/>
      <c r="D4" s="208"/>
      <c r="E4" s="208"/>
      <c r="F4" s="208"/>
      <c r="G4" s="208"/>
      <c r="H4" s="208"/>
      <c r="I4" s="208"/>
      <c r="J4" s="208"/>
      <c r="K4" s="208"/>
    </row>
    <row r="5" spans="1:13" ht="15" x14ac:dyDescent="0.3">
      <c r="A5" s="1"/>
      <c r="B5" s="9"/>
      <c r="C5" s="9"/>
      <c r="D5" s="9"/>
      <c r="E5" s="9"/>
      <c r="F5" s="10"/>
      <c r="G5" s="10"/>
      <c r="H5" s="10"/>
      <c r="I5" s="10"/>
      <c r="J5" s="10"/>
    </row>
    <row r="6" spans="1:13" ht="15" customHeight="1" x14ac:dyDescent="0.2">
      <c r="A6" s="112" t="s">
        <v>2</v>
      </c>
      <c r="B6" s="112" t="s">
        <v>3</v>
      </c>
      <c r="C6" s="113" t="s">
        <v>4</v>
      </c>
      <c r="D6" s="114" t="s">
        <v>5</v>
      </c>
      <c r="E6" s="113" t="s">
        <v>6</v>
      </c>
      <c r="F6" s="113" t="s">
        <v>7</v>
      </c>
      <c r="G6" s="126" t="s">
        <v>2783</v>
      </c>
      <c r="H6" s="126" t="s">
        <v>2785</v>
      </c>
      <c r="I6" s="126" t="s">
        <v>158</v>
      </c>
      <c r="J6" s="126" t="s">
        <v>2784</v>
      </c>
      <c r="K6" s="113" t="s">
        <v>32</v>
      </c>
    </row>
    <row r="7" spans="1:13" s="60" customFormat="1" ht="15" customHeight="1" x14ac:dyDescent="0.3">
      <c r="A7" s="115">
        <v>1</v>
      </c>
      <c r="B7" s="16">
        <v>42121</v>
      </c>
      <c r="C7" s="15" t="s">
        <v>2932</v>
      </c>
      <c r="D7" s="116">
        <f>B7+30</f>
        <v>42151</v>
      </c>
      <c r="E7" s="115" t="s">
        <v>2933</v>
      </c>
      <c r="F7" s="115" t="s">
        <v>2934</v>
      </c>
      <c r="G7" s="115"/>
      <c r="H7" s="115"/>
      <c r="I7" s="115"/>
      <c r="J7" s="115"/>
      <c r="K7" s="117">
        <v>354</v>
      </c>
    </row>
    <row r="8" spans="1:13" s="60" customFormat="1" ht="15" customHeight="1" x14ac:dyDescent="0.3">
      <c r="A8" s="115">
        <v>2</v>
      </c>
      <c r="B8" s="16">
        <v>42121</v>
      </c>
      <c r="C8" s="15" t="s">
        <v>2935</v>
      </c>
      <c r="D8" s="116">
        <f>B8+30</f>
        <v>42151</v>
      </c>
      <c r="E8" s="115" t="s">
        <v>2936</v>
      </c>
      <c r="F8" s="115" t="s">
        <v>2937</v>
      </c>
      <c r="G8" s="115"/>
      <c r="H8" s="115"/>
      <c r="I8" s="115"/>
      <c r="J8" s="115"/>
      <c r="K8" s="117">
        <v>689.12</v>
      </c>
    </row>
    <row r="9" spans="1:13" s="60" customFormat="1" ht="15" customHeight="1" x14ac:dyDescent="0.3">
      <c r="A9" s="115">
        <v>3</v>
      </c>
      <c r="B9" s="16">
        <v>42117</v>
      </c>
      <c r="C9" s="15" t="s">
        <v>2938</v>
      </c>
      <c r="D9" s="116">
        <f>B9+30</f>
        <v>42147</v>
      </c>
      <c r="E9" s="115" t="s">
        <v>2788</v>
      </c>
      <c r="F9" s="115" t="s">
        <v>2789</v>
      </c>
      <c r="G9" s="115"/>
      <c r="H9" s="115"/>
      <c r="I9" s="115"/>
      <c r="J9" s="115"/>
      <c r="K9" s="117">
        <v>410.64</v>
      </c>
    </row>
    <row r="10" spans="1:13" s="60" customFormat="1" ht="15" customHeight="1" x14ac:dyDescent="0.3">
      <c r="A10" s="115">
        <v>4</v>
      </c>
      <c r="B10" s="16">
        <v>42130</v>
      </c>
      <c r="C10" s="15" t="s">
        <v>2959</v>
      </c>
      <c r="D10" s="116">
        <f t="shared" ref="D10:D11" si="0">B10+15</f>
        <v>42145</v>
      </c>
      <c r="E10" s="115" t="s">
        <v>2960</v>
      </c>
      <c r="F10" s="115" t="s">
        <v>71</v>
      </c>
      <c r="G10" s="115"/>
      <c r="H10" s="115"/>
      <c r="I10" s="115"/>
      <c r="J10" s="115"/>
      <c r="K10" s="117">
        <v>2677.5</v>
      </c>
      <c r="L10" s="164">
        <f>K10*3%</f>
        <v>80.325000000000003</v>
      </c>
      <c r="M10" s="196">
        <f>K10-L10</f>
        <v>2597.1750000000002</v>
      </c>
    </row>
    <row r="11" spans="1:13" s="60" customFormat="1" ht="15" customHeight="1" x14ac:dyDescent="0.3">
      <c r="A11" s="115">
        <v>5</v>
      </c>
      <c r="B11" s="160">
        <v>42132</v>
      </c>
      <c r="C11" s="162" t="s">
        <v>2961</v>
      </c>
      <c r="D11" s="116">
        <f t="shared" si="0"/>
        <v>42147</v>
      </c>
      <c r="E11" s="157" t="s">
        <v>2960</v>
      </c>
      <c r="F11" s="115" t="s">
        <v>71</v>
      </c>
      <c r="G11" s="115"/>
      <c r="H11" s="115"/>
      <c r="I11" s="115"/>
      <c r="J11" s="115"/>
      <c r="K11" s="117">
        <v>4672.8</v>
      </c>
      <c r="L11" s="164">
        <f>K11*3%</f>
        <v>140.184</v>
      </c>
      <c r="M11" s="196">
        <f>K11-L11</f>
        <v>4532.616</v>
      </c>
    </row>
    <row r="12" spans="1:13" s="60" customFormat="1" ht="15" customHeight="1" x14ac:dyDescent="0.3">
      <c r="A12" s="115">
        <v>6</v>
      </c>
      <c r="B12" s="192">
        <v>42150</v>
      </c>
      <c r="C12" s="193" t="s">
        <v>2782</v>
      </c>
      <c r="D12" s="192"/>
      <c r="E12" s="194"/>
      <c r="F12" s="194"/>
      <c r="G12" s="194"/>
      <c r="H12" s="194"/>
      <c r="I12" s="194"/>
      <c r="J12" s="194"/>
      <c r="K12" s="195">
        <v>-220.51</v>
      </c>
    </row>
    <row r="13" spans="1:13" s="60" customFormat="1" ht="15" customHeight="1" x14ac:dyDescent="0.3">
      <c r="A13" s="115">
        <v>7</v>
      </c>
      <c r="B13" s="16">
        <v>42117</v>
      </c>
      <c r="C13" s="15" t="s">
        <v>2962</v>
      </c>
      <c r="D13" s="116">
        <f>B13+30</f>
        <v>42147</v>
      </c>
      <c r="E13" s="115" t="s">
        <v>2815</v>
      </c>
      <c r="F13" s="115" t="s">
        <v>2963</v>
      </c>
      <c r="G13" s="115"/>
      <c r="H13" s="115"/>
      <c r="I13" s="115"/>
      <c r="J13" s="115"/>
      <c r="K13" s="117">
        <v>236</v>
      </c>
    </row>
    <row r="14" spans="1:13" s="60" customFormat="1" ht="15" customHeight="1" x14ac:dyDescent="0.3">
      <c r="A14" s="115">
        <v>8</v>
      </c>
      <c r="B14" s="16">
        <v>42114</v>
      </c>
      <c r="C14" s="15" t="s">
        <v>2964</v>
      </c>
      <c r="D14" s="116">
        <f>B14+30</f>
        <v>42144</v>
      </c>
      <c r="E14" s="115" t="s">
        <v>2965</v>
      </c>
      <c r="F14" s="157" t="s">
        <v>2966</v>
      </c>
      <c r="G14" s="157"/>
      <c r="H14" s="157"/>
      <c r="I14" s="157"/>
      <c r="J14" s="157"/>
      <c r="K14" s="165">
        <v>70.8</v>
      </c>
      <c r="L14" s="164">
        <f>K14*3%</f>
        <v>2.1239999999999997</v>
      </c>
      <c r="M14" s="196">
        <f>K14-L14</f>
        <v>68.676000000000002</v>
      </c>
    </row>
    <row r="15" spans="1:13" s="60" customFormat="1" ht="15" customHeight="1" x14ac:dyDescent="0.3">
      <c r="A15" s="115">
        <v>9</v>
      </c>
      <c r="B15" s="16">
        <v>42114</v>
      </c>
      <c r="C15" s="15" t="s">
        <v>2967</v>
      </c>
      <c r="D15" s="116">
        <f t="shared" ref="D15:D25" si="1">B15+30</f>
        <v>42144</v>
      </c>
      <c r="E15" s="163" t="s">
        <v>2965</v>
      </c>
      <c r="F15" s="167" t="s">
        <v>2966</v>
      </c>
      <c r="G15" s="167"/>
      <c r="H15" s="167"/>
      <c r="I15" s="167"/>
      <c r="J15" s="167"/>
      <c r="K15" s="172">
        <v>141.6</v>
      </c>
      <c r="L15" s="164">
        <f>K15*3%</f>
        <v>4.2479999999999993</v>
      </c>
      <c r="M15" s="196">
        <f>K15-L15</f>
        <v>137.352</v>
      </c>
    </row>
    <row r="16" spans="1:13" s="60" customFormat="1" ht="15" customHeight="1" x14ac:dyDescent="0.3">
      <c r="A16" s="115">
        <v>10</v>
      </c>
      <c r="B16" s="16">
        <v>42114</v>
      </c>
      <c r="C16" s="15" t="s">
        <v>2968</v>
      </c>
      <c r="D16" s="116">
        <f t="shared" si="1"/>
        <v>42144</v>
      </c>
      <c r="E16" s="163" t="s">
        <v>2965</v>
      </c>
      <c r="F16" s="174" t="s">
        <v>2969</v>
      </c>
      <c r="G16" s="167"/>
      <c r="H16" s="167"/>
      <c r="I16" s="167"/>
      <c r="J16" s="167"/>
      <c r="K16" s="175">
        <v>283.2</v>
      </c>
      <c r="L16" s="164">
        <f>K16*3%</f>
        <v>8.4959999999999987</v>
      </c>
      <c r="M16" s="196">
        <f>K16-L16</f>
        <v>274.70400000000001</v>
      </c>
    </row>
    <row r="17" spans="1:13" s="60" customFormat="1" ht="15" customHeight="1" x14ac:dyDescent="0.3">
      <c r="A17" s="115">
        <v>11</v>
      </c>
      <c r="B17" s="16">
        <v>42114</v>
      </c>
      <c r="C17" s="15" t="s">
        <v>2970</v>
      </c>
      <c r="D17" s="116">
        <f t="shared" si="1"/>
        <v>42144</v>
      </c>
      <c r="E17" s="163" t="s">
        <v>2965</v>
      </c>
      <c r="F17" s="174" t="s">
        <v>2971</v>
      </c>
      <c r="G17" s="167"/>
      <c r="H17" s="167"/>
      <c r="I17" s="167"/>
      <c r="J17" s="167"/>
      <c r="K17" s="175">
        <v>95.58</v>
      </c>
      <c r="L17" s="164">
        <f>K17*3%</f>
        <v>2.8673999999999999</v>
      </c>
      <c r="M17" s="196">
        <f>K17-L17</f>
        <v>92.712599999999995</v>
      </c>
    </row>
    <row r="18" spans="1:13" s="60" customFormat="1" ht="15" customHeight="1" x14ac:dyDescent="0.3">
      <c r="A18" s="115">
        <v>12</v>
      </c>
      <c r="B18" s="16">
        <v>42114</v>
      </c>
      <c r="C18" s="15" t="s">
        <v>2972</v>
      </c>
      <c r="D18" s="116">
        <f t="shared" si="1"/>
        <v>42144</v>
      </c>
      <c r="E18" s="163" t="s">
        <v>2965</v>
      </c>
      <c r="F18" s="174" t="s">
        <v>2971</v>
      </c>
      <c r="G18" s="167"/>
      <c r="H18" s="167"/>
      <c r="I18" s="167"/>
      <c r="J18" s="167"/>
      <c r="K18" s="175">
        <v>95.58</v>
      </c>
      <c r="L18" s="164">
        <f>K18*3%</f>
        <v>2.8673999999999999</v>
      </c>
      <c r="M18" s="196">
        <f>K18-L18</f>
        <v>92.712599999999995</v>
      </c>
    </row>
    <row r="19" spans="1:13" s="60" customFormat="1" ht="15" customHeight="1" x14ac:dyDescent="0.3">
      <c r="A19" s="115">
        <v>13</v>
      </c>
      <c r="B19" s="16">
        <v>42117</v>
      </c>
      <c r="C19" s="15" t="s">
        <v>2973</v>
      </c>
      <c r="D19" s="116">
        <f t="shared" si="1"/>
        <v>42147</v>
      </c>
      <c r="E19" s="163" t="s">
        <v>2965</v>
      </c>
      <c r="F19" s="174" t="s">
        <v>2974</v>
      </c>
      <c r="G19" s="167"/>
      <c r="H19" s="167"/>
      <c r="I19" s="167"/>
      <c r="J19" s="167"/>
      <c r="K19" s="175">
        <v>81.42</v>
      </c>
      <c r="L19" s="164">
        <f>K19*3%</f>
        <v>2.4426000000000001</v>
      </c>
      <c r="M19" s="196">
        <f>K19-L19</f>
        <v>78.977400000000003</v>
      </c>
    </row>
    <row r="20" spans="1:13" s="60" customFormat="1" ht="15" customHeight="1" x14ac:dyDescent="0.3">
      <c r="A20" s="115">
        <v>14</v>
      </c>
      <c r="B20" s="16">
        <v>42117</v>
      </c>
      <c r="C20" s="15" t="s">
        <v>2975</v>
      </c>
      <c r="D20" s="116">
        <f t="shared" si="1"/>
        <v>42147</v>
      </c>
      <c r="E20" s="163" t="s">
        <v>2965</v>
      </c>
      <c r="F20" s="174" t="s">
        <v>2966</v>
      </c>
      <c r="G20" s="167"/>
      <c r="H20" s="167"/>
      <c r="I20" s="167"/>
      <c r="J20" s="167"/>
      <c r="K20" s="175">
        <v>70.8</v>
      </c>
      <c r="L20" s="164">
        <f>K20*3%</f>
        <v>2.1239999999999997</v>
      </c>
      <c r="M20" s="196">
        <f>K20-L20</f>
        <v>68.676000000000002</v>
      </c>
    </row>
    <row r="21" spans="1:13" s="60" customFormat="1" ht="15" customHeight="1" x14ac:dyDescent="0.3">
      <c r="A21" s="115">
        <v>15</v>
      </c>
      <c r="B21" s="16">
        <v>42114</v>
      </c>
      <c r="C21" s="15" t="s">
        <v>2976</v>
      </c>
      <c r="D21" s="116">
        <f t="shared" si="1"/>
        <v>42144</v>
      </c>
      <c r="E21" s="163" t="s">
        <v>2965</v>
      </c>
      <c r="F21" s="174" t="s">
        <v>2977</v>
      </c>
      <c r="G21" s="167"/>
      <c r="H21" s="167"/>
      <c r="I21" s="167"/>
      <c r="J21" s="167"/>
      <c r="K21" s="175">
        <v>141.6</v>
      </c>
      <c r="L21" s="164">
        <f>K21*3%</f>
        <v>4.2479999999999993</v>
      </c>
      <c r="M21" s="196">
        <f>K21-L21</f>
        <v>137.352</v>
      </c>
    </row>
    <row r="22" spans="1:13" s="60" customFormat="1" ht="15" customHeight="1" x14ac:dyDescent="0.3">
      <c r="A22" s="115">
        <v>16</v>
      </c>
      <c r="B22" s="16">
        <v>42121</v>
      </c>
      <c r="C22" s="15" t="s">
        <v>2978</v>
      </c>
      <c r="D22" s="116">
        <f t="shared" si="1"/>
        <v>42151</v>
      </c>
      <c r="E22" s="163" t="s">
        <v>2965</v>
      </c>
      <c r="F22" s="174" t="s">
        <v>2966</v>
      </c>
      <c r="G22" s="167"/>
      <c r="H22" s="167"/>
      <c r="I22" s="167"/>
      <c r="J22" s="167"/>
      <c r="K22" s="175">
        <v>70.8</v>
      </c>
      <c r="L22" s="164">
        <f>K22*3%</f>
        <v>2.1239999999999997</v>
      </c>
      <c r="M22" s="196">
        <f>K22-L22</f>
        <v>68.676000000000002</v>
      </c>
    </row>
    <row r="23" spans="1:13" s="60" customFormat="1" ht="15" customHeight="1" x14ac:dyDescent="0.3">
      <c r="A23" s="115">
        <v>17</v>
      </c>
      <c r="B23" s="16">
        <v>42122</v>
      </c>
      <c r="C23" s="15" t="s">
        <v>2979</v>
      </c>
      <c r="D23" s="116">
        <f t="shared" si="1"/>
        <v>42152</v>
      </c>
      <c r="E23" s="163" t="s">
        <v>2965</v>
      </c>
      <c r="F23" s="174" t="s">
        <v>2966</v>
      </c>
      <c r="G23" s="167"/>
      <c r="H23" s="167"/>
      <c r="I23" s="167"/>
      <c r="J23" s="167"/>
      <c r="K23" s="175">
        <v>141.6</v>
      </c>
      <c r="L23" s="164">
        <f>K23*3%</f>
        <v>4.2479999999999993</v>
      </c>
      <c r="M23" s="196">
        <f>K23-L23</f>
        <v>137.352</v>
      </c>
    </row>
    <row r="24" spans="1:13" s="60" customFormat="1" ht="15" customHeight="1" x14ac:dyDescent="0.3">
      <c r="A24" s="115">
        <v>18</v>
      </c>
      <c r="B24" s="16">
        <v>42122</v>
      </c>
      <c r="C24" s="15" t="s">
        <v>2980</v>
      </c>
      <c r="D24" s="116">
        <f t="shared" si="1"/>
        <v>42152</v>
      </c>
      <c r="E24" s="163" t="s">
        <v>2965</v>
      </c>
      <c r="F24" s="174" t="s">
        <v>2966</v>
      </c>
      <c r="G24" s="167"/>
      <c r="H24" s="167"/>
      <c r="I24" s="167"/>
      <c r="J24" s="167"/>
      <c r="K24" s="175">
        <v>70.8</v>
      </c>
      <c r="L24" s="164">
        <f>K24*3%</f>
        <v>2.1239999999999997</v>
      </c>
      <c r="M24" s="196">
        <f>K24-L24</f>
        <v>68.676000000000002</v>
      </c>
    </row>
    <row r="25" spans="1:13" s="60" customFormat="1" ht="15" customHeight="1" x14ac:dyDescent="0.3">
      <c r="A25" s="115">
        <v>19</v>
      </c>
      <c r="B25" s="16">
        <v>42122</v>
      </c>
      <c r="C25" s="15" t="s">
        <v>2981</v>
      </c>
      <c r="D25" s="116">
        <f t="shared" si="1"/>
        <v>42152</v>
      </c>
      <c r="E25" s="163" t="s">
        <v>2965</v>
      </c>
      <c r="F25" s="174" t="s">
        <v>2982</v>
      </c>
      <c r="G25" s="167"/>
      <c r="H25" s="167"/>
      <c r="I25" s="167"/>
      <c r="J25" s="167"/>
      <c r="K25" s="175">
        <v>431.88</v>
      </c>
      <c r="L25" s="164">
        <f>K25*3%</f>
        <v>12.956399999999999</v>
      </c>
      <c r="M25" s="196">
        <f>K25-L25</f>
        <v>418.92360000000002</v>
      </c>
    </row>
    <row r="26" spans="1:13" s="60" customFormat="1" ht="15" customHeight="1" x14ac:dyDescent="0.3">
      <c r="A26" s="115">
        <v>20</v>
      </c>
      <c r="B26" s="192">
        <v>42150</v>
      </c>
      <c r="C26" s="193" t="s">
        <v>2782</v>
      </c>
      <c r="D26" s="192"/>
      <c r="E26" s="194"/>
      <c r="F26" s="194"/>
      <c r="G26" s="258"/>
      <c r="H26" s="258"/>
      <c r="I26" s="258"/>
      <c r="J26" s="258"/>
      <c r="K26" s="195">
        <v>-50.87</v>
      </c>
    </row>
    <row r="27" spans="1:13" s="60" customFormat="1" ht="15" customHeight="1" x14ac:dyDescent="0.3">
      <c r="A27" s="115">
        <v>21</v>
      </c>
      <c r="B27" s="249">
        <v>42122</v>
      </c>
      <c r="C27" s="250" t="s">
        <v>2983</v>
      </c>
      <c r="D27" s="116">
        <f>B27+15</f>
        <v>42137</v>
      </c>
      <c r="E27" s="253" t="s">
        <v>2822</v>
      </c>
      <c r="F27" s="255" t="s">
        <v>2984</v>
      </c>
      <c r="G27" s="260" t="s">
        <v>2991</v>
      </c>
      <c r="H27" s="261" t="s">
        <v>2992</v>
      </c>
      <c r="I27" s="261" t="s">
        <v>2993</v>
      </c>
      <c r="J27" s="261">
        <v>43590</v>
      </c>
      <c r="K27" s="175">
        <v>755.02</v>
      </c>
    </row>
    <row r="28" spans="1:13" s="60" customFormat="1" ht="15" customHeight="1" x14ac:dyDescent="0.3">
      <c r="A28" s="115">
        <v>22</v>
      </c>
      <c r="B28" s="251"/>
      <c r="C28" s="252"/>
      <c r="D28" s="116">
        <f t="shared" ref="D28:D31" si="2">B28+15</f>
        <v>15</v>
      </c>
      <c r="E28" s="254"/>
      <c r="F28" s="255" t="s">
        <v>2985</v>
      </c>
      <c r="G28" s="260"/>
      <c r="H28" s="261"/>
      <c r="I28" s="261"/>
      <c r="J28" s="261"/>
      <c r="K28" s="175">
        <v>259.60000000000002</v>
      </c>
    </row>
    <row r="29" spans="1:13" s="60" customFormat="1" ht="15" customHeight="1" x14ac:dyDescent="0.3">
      <c r="A29" s="115">
        <v>23</v>
      </c>
      <c r="B29" s="16">
        <v>42115</v>
      </c>
      <c r="C29" s="15" t="s">
        <v>2986</v>
      </c>
      <c r="D29" s="116">
        <f t="shared" si="2"/>
        <v>42130</v>
      </c>
      <c r="E29" s="163" t="s">
        <v>2987</v>
      </c>
      <c r="F29" s="255" t="s">
        <v>2988</v>
      </c>
      <c r="G29" s="260"/>
      <c r="H29" s="261"/>
      <c r="I29" s="261"/>
      <c r="J29" s="261"/>
      <c r="K29" s="175">
        <v>644.16</v>
      </c>
      <c r="L29" s="164">
        <f>K29*3%</f>
        <v>19.3248</v>
      </c>
      <c r="M29" s="196">
        <f>K29-L29</f>
        <v>624.83519999999999</v>
      </c>
    </row>
    <row r="30" spans="1:13" s="60" customFormat="1" ht="15" customHeight="1" x14ac:dyDescent="0.3">
      <c r="A30" s="115">
        <v>24</v>
      </c>
      <c r="B30" s="16">
        <v>42115</v>
      </c>
      <c r="C30" s="15" t="s">
        <v>2989</v>
      </c>
      <c r="D30" s="116">
        <f t="shared" si="2"/>
        <v>42130</v>
      </c>
      <c r="E30" s="163" t="s">
        <v>2987</v>
      </c>
      <c r="F30" s="255" t="s">
        <v>2990</v>
      </c>
      <c r="G30" s="260"/>
      <c r="H30" s="261"/>
      <c r="I30" s="261"/>
      <c r="J30" s="261"/>
      <c r="K30" s="175">
        <v>519.20000000000005</v>
      </c>
      <c r="L30" s="164">
        <f>K30*3%</f>
        <v>15.576000000000001</v>
      </c>
      <c r="M30" s="196">
        <f>K30-L30</f>
        <v>503.62400000000002</v>
      </c>
    </row>
    <row r="31" spans="1:13" s="60" customFormat="1" ht="15" customHeight="1" x14ac:dyDescent="0.3">
      <c r="A31" s="115">
        <v>25</v>
      </c>
      <c r="B31" s="192">
        <v>42150</v>
      </c>
      <c r="C31" s="193" t="s">
        <v>2782</v>
      </c>
      <c r="D31" s="192"/>
      <c r="E31" s="194"/>
      <c r="F31" s="256"/>
      <c r="G31" s="260"/>
      <c r="H31" s="261"/>
      <c r="I31" s="261"/>
      <c r="J31" s="261"/>
      <c r="K31" s="257">
        <v>-34.9</v>
      </c>
    </row>
    <row r="32" spans="1:13" ht="18.75" x14ac:dyDescent="0.3">
      <c r="B32" s="118"/>
      <c r="C32" s="118"/>
      <c r="D32" s="118"/>
      <c r="I32" s="248" t="s">
        <v>2781</v>
      </c>
      <c r="J32" s="259"/>
      <c r="K32" s="119">
        <f>SUM(K7:K31)</f>
        <v>12607.42</v>
      </c>
    </row>
  </sheetData>
  <sheetProtection selectLockedCells="1" selectUnlockedCells="1"/>
  <mergeCells count="10">
    <mergeCell ref="F1:K1"/>
    <mergeCell ref="A4:K4"/>
    <mergeCell ref="I32:J32"/>
    <mergeCell ref="B27:B28"/>
    <mergeCell ref="C27:C28"/>
    <mergeCell ref="E27:E28"/>
    <mergeCell ref="J27:J31"/>
    <mergeCell ref="I27:I31"/>
    <mergeCell ref="H27:H31"/>
    <mergeCell ref="G27:G31"/>
  </mergeCells>
  <printOptions horizontalCentered="1"/>
  <pageMargins left="0.11811023622047245" right="0.11811023622047245" top="0" bottom="0" header="0.51181102362204722" footer="0.51181102362204722"/>
  <pageSetup paperSize="9" scale="80" firstPageNumber="0" orientation="landscape" horizontalDpi="300" verticalDpi="300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8"/>
  <sheetViews>
    <sheetView workbookViewId="0">
      <selection activeCell="E23" sqref="E23"/>
    </sheetView>
  </sheetViews>
  <sheetFormatPr baseColWidth="10" defaultColWidth="10.7109375" defaultRowHeight="12.75" x14ac:dyDescent="0.2"/>
  <cols>
    <col min="1" max="1" width="4.5703125" customWidth="1"/>
    <col min="2" max="2" width="15.7109375" customWidth="1"/>
    <col min="3" max="3" width="15.85546875" customWidth="1"/>
    <col min="4" max="4" width="16" customWidth="1"/>
    <col min="5" max="5" width="34.42578125" customWidth="1"/>
    <col min="6" max="6" width="43.7109375" customWidth="1"/>
    <col min="7" max="7" width="17.5703125" customWidth="1"/>
    <col min="8" max="8" width="13.42578125" customWidth="1"/>
    <col min="9" max="9" width="14.140625" customWidth="1"/>
    <col min="10" max="10" width="11.28515625" customWidth="1"/>
    <col min="11" max="11" width="13.42578125" customWidth="1"/>
    <col min="12" max="12" width="7.28515625" customWidth="1"/>
    <col min="13" max="13" width="8.85546875" customWidth="1"/>
  </cols>
  <sheetData>
    <row r="1" spans="1:13" ht="15" customHeight="1" x14ac:dyDescent="0.3">
      <c r="A1" s="1" t="s">
        <v>1590</v>
      </c>
      <c r="B1" s="2"/>
      <c r="C1" s="3"/>
      <c r="D1" s="4"/>
      <c r="E1" s="5"/>
      <c r="F1" s="222" t="s">
        <v>0</v>
      </c>
      <c r="G1" s="222"/>
      <c r="H1" s="222"/>
      <c r="I1" s="222"/>
      <c r="J1" s="222"/>
      <c r="K1" s="222"/>
    </row>
    <row r="2" spans="1:13" ht="18.75" x14ac:dyDescent="0.3">
      <c r="A2" s="120" t="s">
        <v>1</v>
      </c>
      <c r="B2" s="7"/>
      <c r="C2" s="3"/>
      <c r="D2" s="4"/>
      <c r="E2" s="5"/>
    </row>
    <row r="3" spans="1:13" ht="15" x14ac:dyDescent="0.3">
      <c r="A3" s="1"/>
      <c r="B3" s="2"/>
      <c r="C3" s="3"/>
      <c r="D3" s="4"/>
      <c r="E3" s="5"/>
      <c r="F3" s="5"/>
      <c r="G3" s="5"/>
      <c r="H3" s="5"/>
      <c r="I3" s="5"/>
      <c r="J3" s="5"/>
      <c r="K3" s="5"/>
    </row>
    <row r="4" spans="1:13" ht="15" x14ac:dyDescent="0.3">
      <c r="A4" s="1"/>
      <c r="B4" s="2"/>
      <c r="C4" s="3"/>
      <c r="D4" s="4"/>
      <c r="E4" s="5"/>
      <c r="F4" s="5"/>
      <c r="G4" s="5"/>
      <c r="H4" s="5"/>
      <c r="I4" s="5"/>
      <c r="J4" s="5"/>
      <c r="K4" s="5"/>
    </row>
    <row r="5" spans="1:13" ht="18" x14ac:dyDescent="0.25">
      <c r="A5" s="208" t="s">
        <v>2798</v>
      </c>
      <c r="B5" s="208"/>
      <c r="C5" s="208"/>
      <c r="D5" s="208"/>
      <c r="E5" s="208"/>
      <c r="F5" s="208"/>
      <c r="G5" s="208"/>
      <c r="H5" s="208"/>
      <c r="I5" s="208"/>
      <c r="J5" s="208"/>
      <c r="K5" s="208"/>
    </row>
    <row r="6" spans="1:13" ht="15" x14ac:dyDescent="0.3">
      <c r="A6" s="1"/>
      <c r="B6" s="9"/>
      <c r="C6" s="9"/>
      <c r="D6" s="9"/>
      <c r="E6" s="9"/>
      <c r="F6" s="10"/>
      <c r="G6" s="10"/>
      <c r="H6" s="10"/>
      <c r="I6" s="10"/>
      <c r="J6" s="10"/>
      <c r="K6" s="121"/>
    </row>
    <row r="7" spans="1:13" ht="19.5" customHeight="1" x14ac:dyDescent="0.2">
      <c r="A7" s="112" t="s">
        <v>2</v>
      </c>
      <c r="B7" s="112" t="s">
        <v>3</v>
      </c>
      <c r="C7" s="113" t="s">
        <v>4</v>
      </c>
      <c r="D7" s="114" t="s">
        <v>5</v>
      </c>
      <c r="E7" s="113" t="s">
        <v>6</v>
      </c>
      <c r="F7" s="113" t="s">
        <v>7</v>
      </c>
      <c r="G7" s="126" t="s">
        <v>2783</v>
      </c>
      <c r="H7" s="126" t="s">
        <v>2785</v>
      </c>
      <c r="I7" s="126" t="s">
        <v>158</v>
      </c>
      <c r="J7" s="126" t="s">
        <v>2784</v>
      </c>
      <c r="K7" s="113" t="s">
        <v>8</v>
      </c>
    </row>
    <row r="8" spans="1:13" s="60" customFormat="1" ht="15" x14ac:dyDescent="0.3">
      <c r="A8" s="15">
        <v>1</v>
      </c>
      <c r="B8" s="16">
        <v>42122</v>
      </c>
      <c r="C8" s="17" t="s">
        <v>2939</v>
      </c>
      <c r="D8" s="122">
        <f>B8+30</f>
        <v>42152</v>
      </c>
      <c r="E8" s="19" t="s">
        <v>2940</v>
      </c>
      <c r="F8" s="158" t="s">
        <v>497</v>
      </c>
      <c r="G8" s="158"/>
      <c r="H8" s="158"/>
      <c r="I8" s="158"/>
      <c r="J8" s="158"/>
      <c r="K8" s="177">
        <v>148.02000000000001</v>
      </c>
    </row>
    <row r="9" spans="1:13" s="60" customFormat="1" ht="15" x14ac:dyDescent="0.3">
      <c r="A9" s="15">
        <v>2</v>
      </c>
      <c r="B9" s="160">
        <v>42121</v>
      </c>
      <c r="C9" s="161" t="s">
        <v>2941</v>
      </c>
      <c r="D9" s="178">
        <f t="shared" ref="D9:D14" si="0">B9+30</f>
        <v>42151</v>
      </c>
      <c r="E9" s="176" t="s">
        <v>702</v>
      </c>
      <c r="F9" s="135" t="s">
        <v>2942</v>
      </c>
      <c r="G9" s="135"/>
      <c r="H9" s="135"/>
      <c r="I9" s="135"/>
      <c r="J9" s="135"/>
      <c r="K9" s="140">
        <v>94.4</v>
      </c>
      <c r="L9" s="164">
        <f>K9*3%</f>
        <v>2.8319999999999999</v>
      </c>
      <c r="M9" s="131">
        <f>K9-L9</f>
        <v>91.568000000000012</v>
      </c>
    </row>
    <row r="10" spans="1:13" s="60" customFormat="1" ht="15" x14ac:dyDescent="0.3">
      <c r="A10" s="15">
        <v>3</v>
      </c>
      <c r="B10" s="138">
        <v>42121</v>
      </c>
      <c r="C10" s="139" t="s">
        <v>2943</v>
      </c>
      <c r="D10" s="179">
        <f t="shared" si="0"/>
        <v>42151</v>
      </c>
      <c r="E10" s="135" t="s">
        <v>702</v>
      </c>
      <c r="F10" s="135" t="s">
        <v>2944</v>
      </c>
      <c r="G10" s="135"/>
      <c r="H10" s="135"/>
      <c r="I10" s="135"/>
      <c r="J10" s="135"/>
      <c r="K10" s="140">
        <v>188.8</v>
      </c>
      <c r="L10" s="164">
        <f>K10*3%</f>
        <v>5.6639999999999997</v>
      </c>
      <c r="M10" s="131">
        <f>K10-L10</f>
        <v>183.13600000000002</v>
      </c>
    </row>
    <row r="11" spans="1:13" s="60" customFormat="1" ht="15" x14ac:dyDescent="0.3">
      <c r="A11" s="15">
        <v>4</v>
      </c>
      <c r="B11" s="155">
        <v>42150</v>
      </c>
      <c r="C11" s="206" t="s">
        <v>2782</v>
      </c>
      <c r="D11" s="197"/>
      <c r="E11" s="149"/>
      <c r="F11" s="149"/>
      <c r="G11" s="149"/>
      <c r="H11" s="149"/>
      <c r="I11" s="149"/>
      <c r="J11" s="149"/>
      <c r="K11" s="169">
        <v>-8.5</v>
      </c>
    </row>
    <row r="12" spans="1:13" s="60" customFormat="1" ht="15" x14ac:dyDescent="0.3">
      <c r="A12" s="15">
        <v>5</v>
      </c>
      <c r="B12" s="138">
        <v>42119</v>
      </c>
      <c r="C12" s="139" t="s">
        <v>2945</v>
      </c>
      <c r="D12" s="179">
        <f>B12+15</f>
        <v>42134</v>
      </c>
      <c r="E12" s="135" t="s">
        <v>2946</v>
      </c>
      <c r="F12" s="135" t="s">
        <v>2947</v>
      </c>
      <c r="G12" s="135"/>
      <c r="H12" s="135"/>
      <c r="I12" s="135"/>
      <c r="J12" s="135"/>
      <c r="K12" s="140">
        <v>110</v>
      </c>
    </row>
    <row r="13" spans="1:13" s="60" customFormat="1" ht="15" x14ac:dyDescent="0.3">
      <c r="A13" s="15">
        <v>6</v>
      </c>
      <c r="B13" s="138">
        <v>42135</v>
      </c>
      <c r="C13" s="139" t="s">
        <v>2994</v>
      </c>
      <c r="D13" s="179">
        <f>B13+15</f>
        <v>42150</v>
      </c>
      <c r="E13" s="135" t="s">
        <v>2995</v>
      </c>
      <c r="F13" s="135" t="s">
        <v>2996</v>
      </c>
      <c r="G13" s="135"/>
      <c r="H13" s="135"/>
      <c r="I13" s="135"/>
      <c r="J13" s="135"/>
      <c r="K13" s="140">
        <v>59</v>
      </c>
    </row>
    <row r="14" spans="1:13" s="60" customFormat="1" ht="15" x14ac:dyDescent="0.3">
      <c r="A14" s="15">
        <v>7</v>
      </c>
      <c r="B14" s="138">
        <v>42136</v>
      </c>
      <c r="C14" s="139" t="s">
        <v>2997</v>
      </c>
      <c r="D14" s="179">
        <f>B14+15</f>
        <v>42151</v>
      </c>
      <c r="E14" s="135" t="s">
        <v>2960</v>
      </c>
      <c r="F14" s="135" t="s">
        <v>2998</v>
      </c>
      <c r="G14" s="135"/>
      <c r="H14" s="135"/>
      <c r="I14" s="135"/>
      <c r="J14" s="135"/>
      <c r="K14" s="140">
        <v>261</v>
      </c>
      <c r="L14" s="164">
        <f>K14*3%</f>
        <v>7.83</v>
      </c>
      <c r="M14" s="131">
        <f>K14-L14</f>
        <v>253.17</v>
      </c>
    </row>
    <row r="15" spans="1:13" s="60" customFormat="1" ht="15" x14ac:dyDescent="0.3">
      <c r="A15" s="15">
        <v>8</v>
      </c>
      <c r="B15" s="155">
        <v>42150</v>
      </c>
      <c r="C15" s="206" t="s">
        <v>2782</v>
      </c>
      <c r="D15" s="197"/>
      <c r="E15" s="149"/>
      <c r="F15" s="149"/>
      <c r="G15" s="149"/>
      <c r="H15" s="149"/>
      <c r="I15" s="149"/>
      <c r="J15" s="149"/>
      <c r="K15" s="169">
        <v>-7.83</v>
      </c>
    </row>
    <row r="16" spans="1:13" s="60" customFormat="1" ht="15" x14ac:dyDescent="0.3">
      <c r="A16" s="15">
        <v>9</v>
      </c>
      <c r="B16" s="138">
        <v>42122</v>
      </c>
      <c r="C16" s="139" t="s">
        <v>2999</v>
      </c>
      <c r="D16" s="179">
        <f>B16+15</f>
        <v>42137</v>
      </c>
      <c r="E16" s="135" t="s">
        <v>2822</v>
      </c>
      <c r="F16" s="135" t="s">
        <v>2854</v>
      </c>
      <c r="G16" s="263" t="s">
        <v>2991</v>
      </c>
      <c r="H16" s="263" t="s">
        <v>2992</v>
      </c>
      <c r="I16" s="263" t="s">
        <v>2993</v>
      </c>
      <c r="J16" s="263">
        <v>43590</v>
      </c>
      <c r="K16" s="140">
        <v>95.58</v>
      </c>
      <c r="L16" s="164"/>
    </row>
    <row r="17" spans="1:12" s="60" customFormat="1" ht="15" x14ac:dyDescent="0.3">
      <c r="A17" s="15">
        <v>10</v>
      </c>
      <c r="B17" s="138">
        <v>42115</v>
      </c>
      <c r="C17" s="139" t="s">
        <v>3000</v>
      </c>
      <c r="D17" s="179">
        <f>B17+15</f>
        <v>42130</v>
      </c>
      <c r="E17" s="135" t="s">
        <v>2872</v>
      </c>
      <c r="F17" s="135" t="s">
        <v>2856</v>
      </c>
      <c r="G17" s="264"/>
      <c r="H17" s="264"/>
      <c r="I17" s="264"/>
      <c r="J17" s="264"/>
      <c r="K17" s="140">
        <v>85.6</v>
      </c>
      <c r="L17" s="164"/>
    </row>
    <row r="18" spans="1:12" ht="15" x14ac:dyDescent="0.2">
      <c r="A18" s="22"/>
      <c r="C18" s="124"/>
      <c r="D18" s="124"/>
      <c r="I18" s="229" t="s">
        <v>24</v>
      </c>
      <c r="J18" s="229"/>
      <c r="K18" s="262">
        <f>SUM(K8:K17)</f>
        <v>1026.07</v>
      </c>
    </row>
  </sheetData>
  <sheetProtection selectLockedCells="1" selectUnlockedCells="1"/>
  <mergeCells count="7">
    <mergeCell ref="F1:K1"/>
    <mergeCell ref="A5:K5"/>
    <mergeCell ref="I18:J18"/>
    <mergeCell ref="J16:J17"/>
    <mergeCell ref="I16:I17"/>
    <mergeCell ref="H16:H17"/>
    <mergeCell ref="G16:G17"/>
  </mergeCells>
  <pageMargins left="0.36" right="0.31" top="0.74803149606299213" bottom="0.74803149606299213" header="0.51181102362204722" footer="0.51181102362204722"/>
  <pageSetup scale="90" firstPageNumber="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/>
  <dimension ref="A1:K128"/>
  <sheetViews>
    <sheetView workbookViewId="0">
      <selection activeCell="E11" sqref="E11"/>
    </sheetView>
  </sheetViews>
  <sheetFormatPr baseColWidth="10" defaultColWidth="10.7109375" defaultRowHeight="12.75" x14ac:dyDescent="0.2"/>
  <cols>
    <col min="1" max="1" width="3.7109375" customWidth="1"/>
    <col min="2" max="2" width="13.140625" customWidth="1"/>
    <col min="4" max="4" width="14.42578125" customWidth="1"/>
    <col min="5" max="5" width="29.7109375" customWidth="1"/>
    <col min="6" max="6" width="32.28515625" customWidth="1"/>
    <col min="7" max="7" width="15.7109375" customWidth="1"/>
    <col min="8" max="8" width="14.7109375" customWidth="1"/>
  </cols>
  <sheetData>
    <row r="1" spans="1:7" ht="15" customHeight="1" x14ac:dyDescent="0.3">
      <c r="A1" s="1"/>
      <c r="B1" s="2"/>
      <c r="C1" s="3"/>
      <c r="D1" s="4"/>
      <c r="E1" s="5"/>
      <c r="F1" s="207" t="s">
        <v>0</v>
      </c>
      <c r="G1" s="207"/>
    </row>
    <row r="2" spans="1:7" ht="18.75" x14ac:dyDescent="0.3">
      <c r="A2" s="7" t="s">
        <v>1</v>
      </c>
      <c r="B2" s="7"/>
      <c r="C2" s="3"/>
      <c r="D2" s="4"/>
      <c r="E2" s="5"/>
      <c r="F2" s="5"/>
      <c r="G2" s="8"/>
    </row>
    <row r="3" spans="1:7" ht="15" x14ac:dyDescent="0.3">
      <c r="A3" s="1"/>
      <c r="B3" s="2"/>
      <c r="C3" s="3"/>
      <c r="D3" s="4"/>
      <c r="E3" s="5"/>
      <c r="F3" s="5"/>
      <c r="G3" s="8"/>
    </row>
    <row r="4" spans="1:7" ht="15" x14ac:dyDescent="0.3">
      <c r="A4" s="1"/>
      <c r="B4" s="2"/>
      <c r="C4" s="3"/>
      <c r="D4" s="4"/>
      <c r="E4" s="5"/>
      <c r="F4" s="5"/>
      <c r="G4" s="8"/>
    </row>
    <row r="5" spans="1:7" ht="18" x14ac:dyDescent="0.25">
      <c r="A5" s="208" t="s">
        <v>528</v>
      </c>
      <c r="B5" s="208"/>
      <c r="C5" s="208"/>
      <c r="D5" s="208"/>
      <c r="E5" s="208"/>
      <c r="F5" s="208"/>
      <c r="G5" s="208"/>
    </row>
    <row r="6" spans="1:7" ht="15" x14ac:dyDescent="0.3">
      <c r="A6" s="1"/>
      <c r="B6" s="9"/>
      <c r="C6" s="9"/>
      <c r="D6" s="9"/>
      <c r="E6" s="9"/>
      <c r="F6" s="10"/>
      <c r="G6" s="11"/>
    </row>
    <row r="7" spans="1:7" x14ac:dyDescent="0.2">
      <c r="A7" s="12" t="s">
        <v>2</v>
      </c>
      <c r="B7" s="12" t="s">
        <v>3</v>
      </c>
      <c r="C7" s="13" t="s">
        <v>4</v>
      </c>
      <c r="D7" s="14" t="s">
        <v>5</v>
      </c>
      <c r="E7" s="13" t="s">
        <v>6</v>
      </c>
      <c r="F7" s="13" t="s">
        <v>7</v>
      </c>
      <c r="G7" s="13" t="s">
        <v>32</v>
      </c>
    </row>
    <row r="8" spans="1:7" ht="30" x14ac:dyDescent="0.3">
      <c r="A8" s="15">
        <v>1</v>
      </c>
      <c r="B8" s="16">
        <v>40585</v>
      </c>
      <c r="C8" s="17" t="s">
        <v>529</v>
      </c>
      <c r="D8" s="18">
        <f>+B8+30</f>
        <v>40615</v>
      </c>
      <c r="E8" s="19" t="s">
        <v>530</v>
      </c>
      <c r="F8" s="20" t="s">
        <v>531</v>
      </c>
      <c r="G8" s="21">
        <v>54.45</v>
      </c>
    </row>
    <row r="9" spans="1:7" ht="30" x14ac:dyDescent="0.3">
      <c r="A9" s="15">
        <v>2</v>
      </c>
      <c r="B9" s="16">
        <v>40586</v>
      </c>
      <c r="C9" s="17" t="s">
        <v>532</v>
      </c>
      <c r="D9" s="18">
        <f>+B9+30</f>
        <v>40616</v>
      </c>
      <c r="E9" s="19" t="s">
        <v>533</v>
      </c>
      <c r="F9" s="20" t="s">
        <v>534</v>
      </c>
      <c r="G9" s="21">
        <v>264.18</v>
      </c>
    </row>
    <row r="10" spans="1:7" ht="30" x14ac:dyDescent="0.3">
      <c r="A10" s="15">
        <v>3</v>
      </c>
      <c r="B10" s="16">
        <v>40570</v>
      </c>
      <c r="C10" s="17" t="s">
        <v>535</v>
      </c>
      <c r="D10" s="18">
        <f>+B10+45</f>
        <v>40615</v>
      </c>
      <c r="E10" s="19" t="s">
        <v>148</v>
      </c>
      <c r="F10" s="20" t="s">
        <v>536</v>
      </c>
      <c r="G10" s="21">
        <v>2983.93</v>
      </c>
    </row>
    <row r="11" spans="1:7" ht="30" x14ac:dyDescent="0.3">
      <c r="A11" s="15">
        <v>4</v>
      </c>
      <c r="B11" s="16">
        <v>40586</v>
      </c>
      <c r="C11" s="17" t="s">
        <v>537</v>
      </c>
      <c r="D11" s="18">
        <f>+B11+30</f>
        <v>40616</v>
      </c>
      <c r="E11" s="19" t="s">
        <v>16</v>
      </c>
      <c r="F11" s="20" t="s">
        <v>538</v>
      </c>
      <c r="G11" s="21">
        <v>356.06</v>
      </c>
    </row>
    <row r="12" spans="1:7" ht="30" x14ac:dyDescent="0.3">
      <c r="A12" s="15">
        <v>5</v>
      </c>
      <c r="B12" s="16">
        <v>40588</v>
      </c>
      <c r="C12" s="17" t="s">
        <v>539</v>
      </c>
      <c r="D12" s="18">
        <f>+B12+30</f>
        <v>40618</v>
      </c>
      <c r="E12" s="19" t="s">
        <v>540</v>
      </c>
      <c r="F12" s="20" t="s">
        <v>541</v>
      </c>
      <c r="G12" s="21">
        <v>871</v>
      </c>
    </row>
    <row r="13" spans="1:7" ht="30" x14ac:dyDescent="0.3">
      <c r="A13" s="15">
        <v>6</v>
      </c>
      <c r="B13" s="16">
        <v>40589</v>
      </c>
      <c r="C13" s="17" t="s">
        <v>542</v>
      </c>
      <c r="D13" s="18">
        <f>+B13+30</f>
        <v>40619</v>
      </c>
      <c r="E13" s="19" t="s">
        <v>543</v>
      </c>
      <c r="F13" s="20" t="s">
        <v>544</v>
      </c>
      <c r="G13" s="21">
        <v>230</v>
      </c>
    </row>
    <row r="14" spans="1:7" ht="30" x14ac:dyDescent="0.3">
      <c r="A14" s="15">
        <v>7</v>
      </c>
      <c r="B14" s="16">
        <v>40586</v>
      </c>
      <c r="C14" s="17" t="s">
        <v>545</v>
      </c>
      <c r="D14" s="18">
        <f>+B14+30</f>
        <v>40616</v>
      </c>
      <c r="E14" s="19" t="s">
        <v>85</v>
      </c>
      <c r="F14" s="20" t="s">
        <v>86</v>
      </c>
      <c r="G14" s="21">
        <v>144.06</v>
      </c>
    </row>
    <row r="15" spans="1:7" ht="30" x14ac:dyDescent="0.3">
      <c r="A15" s="15">
        <v>8</v>
      </c>
      <c r="B15" s="16">
        <v>40610</v>
      </c>
      <c r="C15" s="17" t="s">
        <v>546</v>
      </c>
      <c r="D15" s="18">
        <f>+B15</f>
        <v>40610</v>
      </c>
      <c r="E15" s="19" t="s">
        <v>547</v>
      </c>
      <c r="F15" s="20" t="s">
        <v>548</v>
      </c>
      <c r="G15" s="21">
        <v>59708</v>
      </c>
    </row>
    <row r="16" spans="1:7" ht="30" x14ac:dyDescent="0.3">
      <c r="A16" s="15">
        <v>9</v>
      </c>
      <c r="B16" s="16">
        <v>40609</v>
      </c>
      <c r="C16" s="17" t="s">
        <v>549</v>
      </c>
      <c r="D16" s="18">
        <f>+B16</f>
        <v>40609</v>
      </c>
      <c r="E16" s="19" t="s">
        <v>547</v>
      </c>
      <c r="F16" s="20" t="s">
        <v>550</v>
      </c>
      <c r="G16" s="21">
        <v>15351.87</v>
      </c>
    </row>
    <row r="17" spans="1:10" ht="30" x14ac:dyDescent="0.3">
      <c r="A17" s="15">
        <v>10</v>
      </c>
      <c r="B17" s="16">
        <v>40609</v>
      </c>
      <c r="C17" s="17" t="s">
        <v>551</v>
      </c>
      <c r="D17" s="18">
        <f>+B17</f>
        <v>40609</v>
      </c>
      <c r="E17" s="19" t="s">
        <v>219</v>
      </c>
      <c r="F17" s="20" t="s">
        <v>552</v>
      </c>
      <c r="G17" s="21">
        <v>1469.1</v>
      </c>
    </row>
    <row r="18" spans="1:10" ht="30" x14ac:dyDescent="0.3">
      <c r="A18" s="15">
        <v>11</v>
      </c>
      <c r="B18" s="16">
        <v>40609</v>
      </c>
      <c r="C18" s="17" t="s">
        <v>553</v>
      </c>
      <c r="D18" s="18">
        <f>+B18</f>
        <v>40609</v>
      </c>
      <c r="E18" s="19" t="s">
        <v>219</v>
      </c>
      <c r="F18" s="20" t="s">
        <v>554</v>
      </c>
      <c r="G18" s="21">
        <v>11564</v>
      </c>
    </row>
    <row r="19" spans="1:10" ht="30" x14ac:dyDescent="0.3">
      <c r="A19" s="15">
        <v>12</v>
      </c>
      <c r="B19" s="16">
        <v>40609</v>
      </c>
      <c r="C19" s="17" t="s">
        <v>555</v>
      </c>
      <c r="D19" s="18">
        <f>+B19+7</f>
        <v>40616</v>
      </c>
      <c r="E19" s="19" t="s">
        <v>219</v>
      </c>
      <c r="F19" s="20" t="s">
        <v>554</v>
      </c>
      <c r="G19" s="21">
        <v>3304</v>
      </c>
    </row>
    <row r="20" spans="1:10" ht="30" x14ac:dyDescent="0.3">
      <c r="A20" s="15">
        <v>13</v>
      </c>
      <c r="B20" s="16">
        <v>40603</v>
      </c>
      <c r="C20" s="17" t="s">
        <v>556</v>
      </c>
      <c r="D20" s="18">
        <f>+B20</f>
        <v>40603</v>
      </c>
      <c r="E20" s="19" t="s">
        <v>79</v>
      </c>
      <c r="F20" s="20" t="s">
        <v>557</v>
      </c>
      <c r="G20" s="21">
        <v>100.3</v>
      </c>
    </row>
    <row r="21" spans="1:10" ht="30" x14ac:dyDescent="0.3">
      <c r="A21" s="15">
        <v>14</v>
      </c>
      <c r="B21" s="16">
        <v>40575</v>
      </c>
      <c r="C21" s="17" t="s">
        <v>558</v>
      </c>
      <c r="D21" s="18">
        <f>+B21+15</f>
        <v>40590</v>
      </c>
      <c r="E21" s="19" t="s">
        <v>199</v>
      </c>
      <c r="F21" s="20" t="s">
        <v>559</v>
      </c>
      <c r="G21" s="21">
        <v>142.80000000000001</v>
      </c>
    </row>
    <row r="22" spans="1:10" ht="30" x14ac:dyDescent="0.3">
      <c r="A22" s="15">
        <v>15</v>
      </c>
      <c r="B22" s="16">
        <v>40576</v>
      </c>
      <c r="C22" s="17" t="s">
        <v>560</v>
      </c>
      <c r="D22" s="18">
        <f>+B22+15</f>
        <v>40591</v>
      </c>
      <c r="E22" s="19" t="s">
        <v>561</v>
      </c>
      <c r="F22" s="20" t="s">
        <v>372</v>
      </c>
      <c r="G22" s="21">
        <v>51</v>
      </c>
      <c r="J22" s="35"/>
    </row>
    <row r="23" spans="1:10" ht="30" x14ac:dyDescent="0.3">
      <c r="A23" s="15">
        <v>16</v>
      </c>
      <c r="B23" s="16">
        <v>40560</v>
      </c>
      <c r="C23" s="17" t="s">
        <v>562</v>
      </c>
      <c r="D23" s="18">
        <f>+B23+45</f>
        <v>40605</v>
      </c>
      <c r="E23" s="19" t="s">
        <v>563</v>
      </c>
      <c r="F23" s="20" t="s">
        <v>564</v>
      </c>
      <c r="G23" s="21">
        <v>174.34</v>
      </c>
      <c r="J23" s="35"/>
    </row>
    <row r="24" spans="1:10" ht="30" x14ac:dyDescent="0.3">
      <c r="A24" s="15">
        <v>17</v>
      </c>
      <c r="B24" s="16">
        <v>40560</v>
      </c>
      <c r="C24" s="17" t="s">
        <v>565</v>
      </c>
      <c r="D24" s="18">
        <f>+B24+30</f>
        <v>40590</v>
      </c>
      <c r="E24" s="19" t="s">
        <v>563</v>
      </c>
      <c r="F24" s="20" t="s">
        <v>566</v>
      </c>
      <c r="G24" s="21">
        <v>124.95</v>
      </c>
    </row>
    <row r="25" spans="1:10" ht="30" x14ac:dyDescent="0.3">
      <c r="A25" s="15">
        <v>18</v>
      </c>
      <c r="B25" s="16">
        <v>40560</v>
      </c>
      <c r="C25" s="17" t="s">
        <v>567</v>
      </c>
      <c r="D25" s="18">
        <f>+B25+30</f>
        <v>40590</v>
      </c>
      <c r="E25" s="19" t="s">
        <v>563</v>
      </c>
      <c r="F25" s="20" t="s">
        <v>568</v>
      </c>
      <c r="G25" s="21">
        <v>435.25</v>
      </c>
    </row>
    <row r="26" spans="1:10" ht="30" x14ac:dyDescent="0.3">
      <c r="A26" s="15">
        <v>19</v>
      </c>
      <c r="B26" s="16">
        <v>40567</v>
      </c>
      <c r="C26" s="17" t="s">
        <v>569</v>
      </c>
      <c r="D26" s="18">
        <f>+B26+30</f>
        <v>40597</v>
      </c>
      <c r="E26" s="19" t="s">
        <v>563</v>
      </c>
      <c r="F26" s="20" t="s">
        <v>570</v>
      </c>
      <c r="G26" s="21">
        <v>1097.18</v>
      </c>
    </row>
    <row r="27" spans="1:10" ht="45" x14ac:dyDescent="0.3">
      <c r="A27" s="15">
        <v>20</v>
      </c>
      <c r="B27" s="16">
        <v>40589</v>
      </c>
      <c r="C27" s="17" t="s">
        <v>571</v>
      </c>
      <c r="D27" s="18">
        <f>+B27+15</f>
        <v>40604</v>
      </c>
      <c r="E27" s="19" t="s">
        <v>572</v>
      </c>
      <c r="F27" s="20" t="s">
        <v>573</v>
      </c>
      <c r="G27" s="21">
        <v>523.6</v>
      </c>
    </row>
    <row r="28" spans="1:10" ht="30" x14ac:dyDescent="0.3">
      <c r="A28" s="15">
        <v>21</v>
      </c>
      <c r="B28" s="16">
        <v>40575</v>
      </c>
      <c r="C28" s="17" t="s">
        <v>574</v>
      </c>
      <c r="D28" s="18">
        <v>40603</v>
      </c>
      <c r="E28" s="19" t="s">
        <v>393</v>
      </c>
      <c r="F28" s="20" t="s">
        <v>575</v>
      </c>
      <c r="G28" s="21">
        <v>48.38</v>
      </c>
    </row>
    <row r="29" spans="1:10" ht="15" x14ac:dyDescent="0.2">
      <c r="A29" s="22"/>
      <c r="B29" s="22"/>
      <c r="C29" s="23"/>
      <c r="D29" s="24"/>
      <c r="E29" s="25"/>
      <c r="F29" s="26" t="s">
        <v>24</v>
      </c>
      <c r="G29" s="36">
        <f>SUM(G8:G28)</f>
        <v>98998.450000000012</v>
      </c>
    </row>
    <row r="30" spans="1:10" ht="15" x14ac:dyDescent="0.3">
      <c r="A30" s="1"/>
      <c r="B30" s="28"/>
      <c r="C30" s="1"/>
      <c r="D30" s="1"/>
      <c r="E30" s="1"/>
      <c r="F30" s="5"/>
      <c r="G30" s="11"/>
    </row>
    <row r="34" spans="1:9" ht="15" customHeight="1" x14ac:dyDescent="0.3">
      <c r="A34" s="29"/>
      <c r="B34" s="30"/>
      <c r="C34" s="37"/>
      <c r="D34" s="30"/>
      <c r="E34" s="5"/>
      <c r="F34" s="207" t="s">
        <v>0</v>
      </c>
      <c r="G34" s="207"/>
    </row>
    <row r="35" spans="1:9" ht="18.75" x14ac:dyDescent="0.3">
      <c r="A35" s="31" t="s">
        <v>1</v>
      </c>
      <c r="B35" s="29"/>
      <c r="C35" s="37"/>
      <c r="D35" s="30"/>
      <c r="E35" s="5"/>
      <c r="F35" s="29"/>
      <c r="G35" s="29"/>
    </row>
    <row r="36" spans="1:9" ht="15" x14ac:dyDescent="0.3">
      <c r="A36" s="29"/>
      <c r="B36" s="30"/>
      <c r="C36" s="37"/>
      <c r="D36" s="30"/>
      <c r="E36" s="5"/>
      <c r="F36" s="5"/>
      <c r="G36" s="32"/>
    </row>
    <row r="37" spans="1:9" ht="15" x14ac:dyDescent="0.3">
      <c r="A37" s="29"/>
      <c r="B37" s="30"/>
      <c r="C37" s="37"/>
      <c r="D37" s="30"/>
      <c r="E37" s="5"/>
      <c r="F37" s="5"/>
      <c r="G37" s="32"/>
    </row>
    <row r="38" spans="1:9" ht="18" x14ac:dyDescent="0.25">
      <c r="A38" s="208" t="s">
        <v>576</v>
      </c>
      <c r="B38" s="208"/>
      <c r="C38" s="208"/>
      <c r="D38" s="208"/>
      <c r="E38" s="208"/>
      <c r="F38" s="208"/>
      <c r="G38" s="208"/>
    </row>
    <row r="39" spans="1:9" ht="15" x14ac:dyDescent="0.3">
      <c r="A39" s="29"/>
      <c r="B39" s="9"/>
      <c r="C39" s="9"/>
      <c r="D39" s="9"/>
      <c r="E39" s="9"/>
      <c r="F39" s="10"/>
      <c r="G39" s="11"/>
    </row>
    <row r="40" spans="1:9" x14ac:dyDescent="0.2">
      <c r="A40" s="12" t="s">
        <v>2</v>
      </c>
      <c r="B40" s="12" t="s">
        <v>3</v>
      </c>
      <c r="C40" s="13" t="s">
        <v>4</v>
      </c>
      <c r="D40" s="14" t="s">
        <v>25</v>
      </c>
      <c r="E40" s="13" t="s">
        <v>6</v>
      </c>
      <c r="F40" s="13" t="s">
        <v>7</v>
      </c>
      <c r="G40" s="13" t="s">
        <v>32</v>
      </c>
    </row>
    <row r="41" spans="1:9" ht="30" x14ac:dyDescent="0.3">
      <c r="A41" s="15">
        <v>1</v>
      </c>
      <c r="B41" s="16">
        <v>40591</v>
      </c>
      <c r="C41" s="17" t="s">
        <v>99</v>
      </c>
      <c r="D41" s="18" t="s">
        <v>577</v>
      </c>
      <c r="E41" s="19" t="s">
        <v>101</v>
      </c>
      <c r="F41" s="20" t="s">
        <v>102</v>
      </c>
      <c r="G41" s="21">
        <f>595-(595*0.04)</f>
        <v>571.20000000000005</v>
      </c>
      <c r="H41" s="58" t="s">
        <v>27</v>
      </c>
    </row>
    <row r="42" spans="1:9" ht="30" x14ac:dyDescent="0.3">
      <c r="A42" s="15">
        <v>2</v>
      </c>
      <c r="B42" s="16">
        <v>40612</v>
      </c>
      <c r="C42" s="17" t="s">
        <v>578</v>
      </c>
      <c r="D42" s="18" t="s">
        <v>579</v>
      </c>
      <c r="E42" s="19" t="s">
        <v>256</v>
      </c>
      <c r="F42" s="20" t="s">
        <v>580</v>
      </c>
      <c r="G42" s="21">
        <v>3504.74</v>
      </c>
      <c r="H42" s="58" t="s">
        <v>27</v>
      </c>
    </row>
    <row r="43" spans="1:9" ht="30" x14ac:dyDescent="0.3">
      <c r="A43" s="15">
        <v>3</v>
      </c>
      <c r="B43" s="16">
        <v>40617</v>
      </c>
      <c r="C43" s="17" t="s">
        <v>173</v>
      </c>
      <c r="D43" s="18" t="s">
        <v>581</v>
      </c>
      <c r="E43" s="19" t="s">
        <v>582</v>
      </c>
      <c r="F43" s="20" t="s">
        <v>583</v>
      </c>
      <c r="G43" s="21">
        <v>40454</v>
      </c>
      <c r="H43" s="44" t="s">
        <v>27</v>
      </c>
      <c r="I43" s="35"/>
    </row>
    <row r="44" spans="1:9" ht="30" customHeight="1" x14ac:dyDescent="0.3">
      <c r="A44" s="15">
        <v>4</v>
      </c>
      <c r="B44" s="16">
        <v>40617</v>
      </c>
      <c r="C44" s="17" t="s">
        <v>173</v>
      </c>
      <c r="D44" s="18" t="s">
        <v>584</v>
      </c>
      <c r="E44" s="19" t="s">
        <v>582</v>
      </c>
      <c r="F44" s="20" t="s">
        <v>585</v>
      </c>
      <c r="G44" s="21">
        <v>99951</v>
      </c>
      <c r="H44" s="44" t="s">
        <v>27</v>
      </c>
      <c r="I44" s="35"/>
    </row>
    <row r="45" spans="1:9" ht="30" x14ac:dyDescent="0.3">
      <c r="A45" s="15">
        <v>5</v>
      </c>
      <c r="B45" s="16">
        <v>40617</v>
      </c>
      <c r="C45" s="17" t="s">
        <v>173</v>
      </c>
      <c r="D45" s="18" t="s">
        <v>586</v>
      </c>
      <c r="E45" s="19" t="s">
        <v>260</v>
      </c>
      <c r="F45" s="20" t="s">
        <v>587</v>
      </c>
      <c r="G45" s="21">
        <v>3911.29</v>
      </c>
      <c r="H45" s="58" t="s">
        <v>27</v>
      </c>
    </row>
    <row r="46" spans="1:9" ht="15" x14ac:dyDescent="0.3">
      <c r="A46" s="29"/>
      <c r="B46" s="30"/>
      <c r="C46" s="37"/>
      <c r="D46" s="30"/>
      <c r="E46" s="5"/>
      <c r="F46" s="46" t="s">
        <v>24</v>
      </c>
      <c r="G46" s="36">
        <f>SUM(G41:G45)</f>
        <v>148392.23000000001</v>
      </c>
    </row>
    <row r="47" spans="1:9" ht="15" x14ac:dyDescent="0.3">
      <c r="A47" s="29"/>
      <c r="B47" s="30"/>
      <c r="C47" s="37"/>
      <c r="D47" s="30"/>
      <c r="E47" s="5"/>
      <c r="F47" s="55"/>
      <c r="G47" s="56"/>
    </row>
    <row r="48" spans="1:9" ht="15" x14ac:dyDescent="0.3">
      <c r="A48" s="29"/>
      <c r="B48" s="30"/>
      <c r="C48" s="37"/>
      <c r="D48" s="30"/>
      <c r="E48" s="5"/>
      <c r="F48" s="55"/>
      <c r="G48" s="56"/>
    </row>
    <row r="49" spans="1:9" x14ac:dyDescent="0.2">
      <c r="B49" s="35"/>
    </row>
    <row r="50" spans="1:9" x14ac:dyDescent="0.2">
      <c r="B50" s="35"/>
    </row>
    <row r="51" spans="1:9" ht="18.75" x14ac:dyDescent="0.3">
      <c r="A51" s="209" t="s">
        <v>1</v>
      </c>
      <c r="B51" s="209"/>
      <c r="C51" s="209"/>
      <c r="D51" s="209"/>
      <c r="E51" s="209"/>
      <c r="F51" s="47"/>
      <c r="G51" s="47"/>
    </row>
    <row r="52" spans="1:9" ht="15" x14ac:dyDescent="0.3">
      <c r="A52" s="1"/>
      <c r="B52" s="37"/>
      <c r="C52" s="37"/>
      <c r="D52" s="37"/>
      <c r="E52" s="47"/>
      <c r="F52" s="47"/>
      <c r="G52" s="48"/>
    </row>
    <row r="53" spans="1:9" ht="15" x14ac:dyDescent="0.3">
      <c r="A53" s="1"/>
      <c r="B53" s="37"/>
      <c r="C53" s="37"/>
      <c r="D53" s="37"/>
      <c r="E53" s="47"/>
      <c r="F53" s="47"/>
      <c r="G53" s="48"/>
    </row>
    <row r="54" spans="1:9" ht="18" x14ac:dyDescent="0.25">
      <c r="A54" s="210" t="s">
        <v>588</v>
      </c>
      <c r="B54" s="210"/>
      <c r="C54" s="210"/>
      <c r="D54" s="210"/>
      <c r="E54" s="210"/>
      <c r="F54" s="210"/>
      <c r="G54" s="210"/>
    </row>
    <row r="55" spans="1:9" ht="15" x14ac:dyDescent="0.3">
      <c r="A55" s="1"/>
      <c r="B55" s="49"/>
      <c r="C55" s="49"/>
      <c r="D55" s="49"/>
      <c r="E55" s="49"/>
      <c r="F55" s="50"/>
      <c r="G55" s="47"/>
    </row>
    <row r="56" spans="1:9" x14ac:dyDescent="0.2">
      <c r="A56" s="51" t="s">
        <v>2</v>
      </c>
      <c r="B56" s="51" t="s">
        <v>3</v>
      </c>
      <c r="C56" s="51" t="s">
        <v>4</v>
      </c>
      <c r="D56" s="51" t="s">
        <v>5</v>
      </c>
      <c r="E56" s="51" t="s">
        <v>6</v>
      </c>
      <c r="F56" s="51" t="s">
        <v>146</v>
      </c>
      <c r="G56" s="13" t="s">
        <v>32</v>
      </c>
    </row>
    <row r="57" spans="1:9" ht="30" x14ac:dyDescent="0.3">
      <c r="A57" s="52">
        <v>1</v>
      </c>
      <c r="B57" s="53">
        <v>40577</v>
      </c>
      <c r="C57" s="17" t="s">
        <v>589</v>
      </c>
      <c r="D57" s="54">
        <v>40622</v>
      </c>
      <c r="E57" s="19" t="s">
        <v>590</v>
      </c>
      <c r="F57" s="20" t="s">
        <v>149</v>
      </c>
      <c r="G57" s="21">
        <v>12443.35</v>
      </c>
      <c r="H57" s="1" t="s">
        <v>591</v>
      </c>
      <c r="I57" t="s">
        <v>27</v>
      </c>
    </row>
    <row r="58" spans="1:9" ht="15" x14ac:dyDescent="0.3">
      <c r="A58" s="1"/>
      <c r="B58" s="37"/>
      <c r="C58" s="37"/>
      <c r="D58" s="37"/>
      <c r="E58" s="47"/>
      <c r="F58" s="51" t="s">
        <v>155</v>
      </c>
      <c r="G58" s="36">
        <f>SUM(G57:G57)</f>
        <v>12443.35</v>
      </c>
    </row>
    <row r="59" spans="1:9" x14ac:dyDescent="0.2">
      <c r="B59" s="35"/>
    </row>
    <row r="60" spans="1:9" x14ac:dyDescent="0.2">
      <c r="B60" s="35"/>
    </row>
    <row r="62" spans="1:9" x14ac:dyDescent="0.2">
      <c r="B62" s="35"/>
    </row>
    <row r="63" spans="1:9" ht="15" customHeight="1" x14ac:dyDescent="0.3">
      <c r="A63" s="29"/>
      <c r="B63" s="30"/>
      <c r="C63" s="37"/>
      <c r="D63" s="30"/>
      <c r="E63" s="5"/>
      <c r="F63" s="207" t="s">
        <v>0</v>
      </c>
      <c r="G63" s="207"/>
    </row>
    <row r="64" spans="1:9" ht="18.75" x14ac:dyDescent="0.3">
      <c r="A64" s="31" t="s">
        <v>1</v>
      </c>
      <c r="B64" s="29"/>
      <c r="C64" s="37"/>
      <c r="D64" s="30"/>
      <c r="E64" s="5"/>
      <c r="F64" s="29"/>
      <c r="G64" s="29"/>
    </row>
    <row r="65" spans="1:11" ht="15" x14ac:dyDescent="0.3">
      <c r="A65" s="29"/>
      <c r="B65" s="30"/>
      <c r="C65" s="37"/>
      <c r="D65" s="30"/>
      <c r="E65" s="5"/>
      <c r="F65" s="5"/>
      <c r="G65" s="32"/>
    </row>
    <row r="66" spans="1:11" ht="15" x14ac:dyDescent="0.3">
      <c r="A66" s="29"/>
      <c r="B66" s="30"/>
      <c r="C66" s="37"/>
      <c r="D66" s="30"/>
      <c r="E66" s="5"/>
      <c r="F66" s="5"/>
      <c r="G66" s="32"/>
    </row>
    <row r="67" spans="1:11" ht="18" x14ac:dyDescent="0.25">
      <c r="A67" s="208" t="s">
        <v>592</v>
      </c>
      <c r="B67" s="208"/>
      <c r="C67" s="208"/>
      <c r="D67" s="208"/>
      <c r="E67" s="208"/>
      <c r="F67" s="208"/>
      <c r="G67" s="208"/>
    </row>
    <row r="68" spans="1:11" ht="18" x14ac:dyDescent="0.25">
      <c r="A68" s="208" t="s">
        <v>157</v>
      </c>
      <c r="B68" s="208"/>
      <c r="C68" s="208"/>
      <c r="D68" s="208"/>
      <c r="E68" s="208"/>
      <c r="F68" s="208"/>
      <c r="G68" s="208"/>
    </row>
    <row r="69" spans="1:11" ht="15" x14ac:dyDescent="0.3">
      <c r="A69" s="29"/>
      <c r="B69" s="9"/>
      <c r="C69" s="9"/>
      <c r="D69" s="9"/>
      <c r="E69" s="9"/>
      <c r="F69" s="10"/>
      <c r="G69" s="11"/>
    </row>
    <row r="70" spans="1:11" x14ac:dyDescent="0.2">
      <c r="A70" s="12" t="s">
        <v>2</v>
      </c>
      <c r="B70" s="12" t="s">
        <v>3</v>
      </c>
      <c r="C70" s="13" t="s">
        <v>4</v>
      </c>
      <c r="D70" s="14" t="s">
        <v>25</v>
      </c>
      <c r="E70" s="13" t="s">
        <v>6</v>
      </c>
      <c r="F70" s="13" t="s">
        <v>7</v>
      </c>
      <c r="G70" s="13" t="s">
        <v>32</v>
      </c>
      <c r="H70" s="13" t="s">
        <v>8</v>
      </c>
    </row>
    <row r="71" spans="1:11" ht="51" customHeight="1" x14ac:dyDescent="0.3">
      <c r="A71" s="15">
        <v>1</v>
      </c>
      <c r="B71" s="16">
        <v>40613</v>
      </c>
      <c r="C71" s="17" t="s">
        <v>173</v>
      </c>
      <c r="D71" s="18" t="s">
        <v>593</v>
      </c>
      <c r="E71" s="19" t="s">
        <v>281</v>
      </c>
      <c r="F71" s="20" t="s">
        <v>594</v>
      </c>
      <c r="G71" s="21">
        <v>702.1</v>
      </c>
      <c r="H71" s="21">
        <v>0</v>
      </c>
      <c r="I71" s="45" t="s">
        <v>27</v>
      </c>
      <c r="K71" s="35"/>
    </row>
    <row r="72" spans="1:11" ht="51" customHeight="1" x14ac:dyDescent="0.3">
      <c r="A72" s="15">
        <v>2</v>
      </c>
      <c r="B72" s="16">
        <v>40613</v>
      </c>
      <c r="C72" s="17" t="s">
        <v>173</v>
      </c>
      <c r="D72" s="18" t="s">
        <v>595</v>
      </c>
      <c r="E72" s="19" t="s">
        <v>281</v>
      </c>
      <c r="F72" s="20" t="s">
        <v>594</v>
      </c>
      <c r="G72" s="21">
        <v>0</v>
      </c>
      <c r="H72" s="21">
        <v>259.14999999999998</v>
      </c>
      <c r="I72" s="45" t="s">
        <v>27</v>
      </c>
      <c r="K72" s="35"/>
    </row>
    <row r="73" spans="1:11" ht="51" customHeight="1" x14ac:dyDescent="0.3">
      <c r="A73" s="15">
        <v>3</v>
      </c>
      <c r="B73" s="16">
        <v>40613</v>
      </c>
      <c r="C73" s="17" t="s">
        <v>173</v>
      </c>
      <c r="D73" s="18" t="s">
        <v>596</v>
      </c>
      <c r="E73" s="19" t="s">
        <v>281</v>
      </c>
      <c r="F73" s="20" t="s">
        <v>597</v>
      </c>
      <c r="G73" s="21">
        <v>1530.47</v>
      </c>
      <c r="H73" s="21">
        <v>0</v>
      </c>
      <c r="I73" s="45" t="s">
        <v>27</v>
      </c>
      <c r="K73" s="35"/>
    </row>
    <row r="74" spans="1:11" ht="51" customHeight="1" x14ac:dyDescent="0.3">
      <c r="A74" s="15">
        <v>4</v>
      </c>
      <c r="B74" s="16">
        <v>40613</v>
      </c>
      <c r="C74" s="17" t="s">
        <v>173</v>
      </c>
      <c r="D74" s="18" t="s">
        <v>598</v>
      </c>
      <c r="E74" s="19" t="s">
        <v>281</v>
      </c>
      <c r="F74" s="20" t="s">
        <v>597</v>
      </c>
      <c r="G74" s="21">
        <v>0</v>
      </c>
      <c r="H74" s="21">
        <v>456.66</v>
      </c>
      <c r="I74" s="59" t="s">
        <v>27</v>
      </c>
      <c r="K74" s="35"/>
    </row>
    <row r="75" spans="1:11" ht="51" customHeight="1" x14ac:dyDescent="0.3">
      <c r="A75" s="15">
        <v>5</v>
      </c>
      <c r="B75" s="16">
        <v>40613</v>
      </c>
      <c r="C75" s="17" t="s">
        <v>173</v>
      </c>
      <c r="D75" s="18" t="s">
        <v>599</v>
      </c>
      <c r="E75" s="19" t="s">
        <v>281</v>
      </c>
      <c r="F75" s="20" t="s">
        <v>600</v>
      </c>
      <c r="G75" s="21">
        <v>574.66</v>
      </c>
      <c r="H75" s="21">
        <v>0</v>
      </c>
      <c r="I75" s="59" t="s">
        <v>27</v>
      </c>
      <c r="K75" s="35"/>
    </row>
    <row r="76" spans="1:11" ht="51" customHeight="1" x14ac:dyDescent="0.3">
      <c r="A76" s="15">
        <v>6</v>
      </c>
      <c r="B76" s="16">
        <v>40613</v>
      </c>
      <c r="C76" s="17" t="s">
        <v>173</v>
      </c>
      <c r="D76" s="18" t="s">
        <v>601</v>
      </c>
      <c r="E76" s="19" t="s">
        <v>281</v>
      </c>
      <c r="F76" s="20" t="s">
        <v>600</v>
      </c>
      <c r="G76" s="21">
        <v>0</v>
      </c>
      <c r="H76" s="21">
        <v>227.94</v>
      </c>
      <c r="I76" s="59" t="s">
        <v>27</v>
      </c>
      <c r="K76" s="35"/>
    </row>
    <row r="77" spans="1:11" ht="51" customHeight="1" x14ac:dyDescent="0.3">
      <c r="A77" s="15">
        <v>7</v>
      </c>
      <c r="B77" s="16">
        <v>40616</v>
      </c>
      <c r="C77" s="17" t="s">
        <v>158</v>
      </c>
      <c r="D77" s="18" t="s">
        <v>602</v>
      </c>
      <c r="E77" s="19" t="s">
        <v>160</v>
      </c>
      <c r="F77" s="20" t="s">
        <v>603</v>
      </c>
      <c r="G77" s="21">
        <f>10331-10331</f>
        <v>0</v>
      </c>
      <c r="H77" s="21">
        <v>0</v>
      </c>
      <c r="I77" s="45" t="s">
        <v>126</v>
      </c>
      <c r="K77" s="35"/>
    </row>
    <row r="78" spans="1:11" ht="51" customHeight="1" x14ac:dyDescent="0.3">
      <c r="A78" s="15">
        <v>8</v>
      </c>
      <c r="B78" s="16">
        <v>40616</v>
      </c>
      <c r="C78" s="17" t="s">
        <v>158</v>
      </c>
      <c r="D78" s="18" t="s">
        <v>604</v>
      </c>
      <c r="E78" s="19" t="s">
        <v>160</v>
      </c>
      <c r="F78" s="20" t="s">
        <v>605</v>
      </c>
      <c r="G78" s="21">
        <f>2354-2354</f>
        <v>0</v>
      </c>
      <c r="H78" s="21">
        <v>0</v>
      </c>
      <c r="I78" s="45" t="s">
        <v>126</v>
      </c>
      <c r="K78" s="35"/>
    </row>
    <row r="79" spans="1:11" ht="51" customHeight="1" x14ac:dyDescent="0.3">
      <c r="A79" s="15">
        <v>9</v>
      </c>
      <c r="B79" s="16">
        <v>40618</v>
      </c>
      <c r="C79" s="17" t="s">
        <v>158</v>
      </c>
      <c r="D79" s="18" t="s">
        <v>606</v>
      </c>
      <c r="E79" s="19" t="s">
        <v>160</v>
      </c>
      <c r="F79" s="20" t="s">
        <v>603</v>
      </c>
      <c r="G79" s="21">
        <f>10331/2+0.5</f>
        <v>5166</v>
      </c>
      <c r="H79" s="21">
        <v>0</v>
      </c>
      <c r="I79" s="45" t="s">
        <v>27</v>
      </c>
      <c r="K79" s="35"/>
    </row>
    <row r="80" spans="1:11" ht="51" customHeight="1" x14ac:dyDescent="0.3">
      <c r="A80" s="15">
        <v>10</v>
      </c>
      <c r="B80" s="16">
        <v>40618</v>
      </c>
      <c r="C80" s="17" t="s">
        <v>158</v>
      </c>
      <c r="D80" s="18" t="s">
        <v>607</v>
      </c>
      <c r="E80" s="19" t="s">
        <v>160</v>
      </c>
      <c r="F80" s="20" t="s">
        <v>603</v>
      </c>
      <c r="G80" s="21">
        <f>10331/2-0.5</f>
        <v>5165</v>
      </c>
      <c r="H80" s="21">
        <v>0</v>
      </c>
      <c r="I80" s="45" t="s">
        <v>27</v>
      </c>
      <c r="K80" s="35"/>
    </row>
    <row r="81" spans="1:11" ht="51" customHeight="1" x14ac:dyDescent="0.3">
      <c r="A81" s="15">
        <v>11</v>
      </c>
      <c r="B81" s="16">
        <v>40618</v>
      </c>
      <c r="C81" s="17" t="s">
        <v>158</v>
      </c>
      <c r="D81" s="18" t="s">
        <v>608</v>
      </c>
      <c r="E81" s="19" t="s">
        <v>160</v>
      </c>
      <c r="F81" s="20" t="s">
        <v>605</v>
      </c>
      <c r="G81" s="21">
        <f>2354</f>
        <v>2354</v>
      </c>
      <c r="H81" s="21">
        <v>0</v>
      </c>
      <c r="I81" s="45" t="s">
        <v>27</v>
      </c>
      <c r="K81" s="35"/>
    </row>
    <row r="82" spans="1:11" ht="19.5" customHeight="1" x14ac:dyDescent="0.3">
      <c r="A82" s="29"/>
      <c r="B82" s="30"/>
      <c r="C82" s="37"/>
      <c r="D82" s="30"/>
      <c r="E82" s="5"/>
      <c r="F82" s="46" t="s">
        <v>24</v>
      </c>
      <c r="G82" s="36">
        <f>SUM(G71:G78)</f>
        <v>2807.23</v>
      </c>
      <c r="H82" s="27">
        <f>SUM(H71:H78)</f>
        <v>943.75</v>
      </c>
    </row>
    <row r="85" spans="1:11" x14ac:dyDescent="0.2">
      <c r="A85" s="211" t="s">
        <v>609</v>
      </c>
      <c r="B85" s="211"/>
      <c r="C85" s="211"/>
      <c r="D85" s="211"/>
      <c r="E85" s="211"/>
      <c r="F85" s="211"/>
      <c r="G85" s="211"/>
    </row>
    <row r="86" spans="1:11" x14ac:dyDescent="0.2">
      <c r="A86" s="211"/>
      <c r="B86" s="211"/>
      <c r="C86" s="211"/>
      <c r="D86" s="211"/>
      <c r="E86" s="211"/>
      <c r="F86" s="211"/>
      <c r="G86" s="211"/>
    </row>
    <row r="87" spans="1:11" x14ac:dyDescent="0.2">
      <c r="A87" s="211"/>
      <c r="B87" s="211"/>
      <c r="C87" s="211"/>
      <c r="D87" s="211"/>
      <c r="E87" s="211"/>
      <c r="F87" s="211"/>
      <c r="G87" s="211"/>
    </row>
    <row r="88" spans="1:11" x14ac:dyDescent="0.2">
      <c r="B88" s="35"/>
    </row>
    <row r="89" spans="1:11" ht="15" customHeight="1" x14ac:dyDescent="0.3">
      <c r="A89" s="1"/>
      <c r="B89" s="2"/>
      <c r="C89" s="3"/>
      <c r="D89" s="4"/>
      <c r="E89" s="5"/>
      <c r="F89" s="207" t="s">
        <v>0</v>
      </c>
      <c r="G89" s="207"/>
    </row>
    <row r="90" spans="1:11" ht="18.75" x14ac:dyDescent="0.3">
      <c r="A90" s="7" t="s">
        <v>1</v>
      </c>
      <c r="B90" s="7"/>
      <c r="C90" s="3"/>
      <c r="D90" s="4"/>
      <c r="E90" s="5"/>
      <c r="F90" s="5"/>
      <c r="G90" s="8"/>
    </row>
    <row r="91" spans="1:11" ht="15" x14ac:dyDescent="0.3">
      <c r="A91" s="1"/>
      <c r="B91" s="2"/>
      <c r="C91" s="3"/>
      <c r="D91" s="4"/>
      <c r="E91" s="5"/>
      <c r="F91" s="5"/>
      <c r="G91" s="8"/>
    </row>
    <row r="92" spans="1:11" ht="15" x14ac:dyDescent="0.3">
      <c r="A92" s="1"/>
      <c r="B92" s="2"/>
      <c r="C92" s="3"/>
      <c r="D92" s="4"/>
      <c r="E92" s="5"/>
      <c r="F92" s="5"/>
      <c r="G92" s="8"/>
    </row>
    <row r="93" spans="1:11" ht="18" x14ac:dyDescent="0.25">
      <c r="A93" s="208" t="s">
        <v>528</v>
      </c>
      <c r="B93" s="208"/>
      <c r="C93" s="208"/>
      <c r="D93" s="208"/>
      <c r="E93" s="208"/>
      <c r="F93" s="208"/>
      <c r="G93" s="208"/>
    </row>
    <row r="94" spans="1:11" ht="15" x14ac:dyDescent="0.3">
      <c r="A94" s="1"/>
      <c r="B94" s="9"/>
      <c r="C94" s="9"/>
      <c r="D94" s="9"/>
      <c r="E94" s="9"/>
      <c r="F94" s="10"/>
      <c r="G94" s="11"/>
    </row>
    <row r="95" spans="1:11" x14ac:dyDescent="0.2">
      <c r="A95" s="12" t="s">
        <v>2</v>
      </c>
      <c r="B95" s="12" t="s">
        <v>3</v>
      </c>
      <c r="C95" s="13" t="s">
        <v>4</v>
      </c>
      <c r="D95" s="14" t="s">
        <v>5</v>
      </c>
      <c r="E95" s="13" t="s">
        <v>6</v>
      </c>
      <c r="F95" s="13" t="s">
        <v>7</v>
      </c>
      <c r="G95" s="13" t="s">
        <v>32</v>
      </c>
    </row>
    <row r="96" spans="1:11" s="60" customFormat="1" ht="30" x14ac:dyDescent="0.3">
      <c r="A96" s="15">
        <v>1</v>
      </c>
      <c r="B96" s="16">
        <v>40590</v>
      </c>
      <c r="C96" s="17" t="s">
        <v>610</v>
      </c>
      <c r="D96" s="18">
        <f>+B96+30</f>
        <v>40620</v>
      </c>
      <c r="E96" s="19" t="s">
        <v>611</v>
      </c>
      <c r="F96" s="20" t="s">
        <v>612</v>
      </c>
      <c r="G96" s="21">
        <v>3600.58</v>
      </c>
    </row>
    <row r="97" spans="1:8" ht="30" x14ac:dyDescent="0.3">
      <c r="A97" s="15">
        <v>2</v>
      </c>
      <c r="B97" s="16">
        <v>40609</v>
      </c>
      <c r="C97" s="17" t="s">
        <v>613</v>
      </c>
      <c r="D97" s="18">
        <f>+B97+7</f>
        <v>40616</v>
      </c>
      <c r="E97" s="19" t="s">
        <v>219</v>
      </c>
      <c r="F97" s="20" t="s">
        <v>614</v>
      </c>
      <c r="G97" s="21">
        <v>6608</v>
      </c>
    </row>
    <row r="98" spans="1:8" ht="15" x14ac:dyDescent="0.2">
      <c r="A98" s="22"/>
      <c r="B98" s="22"/>
      <c r="C98" s="23"/>
      <c r="D98" s="24"/>
      <c r="E98" s="25"/>
      <c r="F98" s="26" t="s">
        <v>24</v>
      </c>
      <c r="G98" s="36">
        <f>SUM(G96:G97)</f>
        <v>10208.58</v>
      </c>
    </row>
    <row r="103" spans="1:8" ht="15" customHeight="1" x14ac:dyDescent="0.3">
      <c r="A103" s="29"/>
      <c r="B103" s="30"/>
      <c r="C103" s="37"/>
      <c r="D103" s="30"/>
      <c r="E103" s="5"/>
      <c r="F103" s="207" t="s">
        <v>0</v>
      </c>
      <c r="G103" s="207"/>
    </row>
    <row r="104" spans="1:8" ht="18.75" x14ac:dyDescent="0.3">
      <c r="A104" s="31" t="s">
        <v>1</v>
      </c>
      <c r="B104" s="29"/>
      <c r="C104" s="37"/>
      <c r="D104" s="30"/>
      <c r="E104" s="5"/>
      <c r="F104" s="29"/>
      <c r="G104" s="29"/>
    </row>
    <row r="105" spans="1:8" ht="15" x14ac:dyDescent="0.3">
      <c r="A105" s="29"/>
      <c r="B105" s="30"/>
      <c r="C105" s="37"/>
      <c r="D105" s="30"/>
      <c r="E105" s="5"/>
      <c r="F105" s="5"/>
      <c r="G105" s="32"/>
    </row>
    <row r="106" spans="1:8" ht="15" x14ac:dyDescent="0.3">
      <c r="A106" s="29"/>
      <c r="B106" s="30"/>
      <c r="C106" s="37"/>
      <c r="D106" s="30"/>
      <c r="E106" s="5"/>
      <c r="F106" s="5"/>
      <c r="G106" s="32"/>
    </row>
    <row r="107" spans="1:8" ht="18" x14ac:dyDescent="0.25">
      <c r="A107" s="208" t="s">
        <v>592</v>
      </c>
      <c r="B107" s="208"/>
      <c r="C107" s="208"/>
      <c r="D107" s="208"/>
      <c r="E107" s="208"/>
      <c r="F107" s="208"/>
      <c r="G107" s="208"/>
    </row>
    <row r="108" spans="1:8" ht="18" x14ac:dyDescent="0.25">
      <c r="A108" s="208" t="s">
        <v>157</v>
      </c>
      <c r="B108" s="208"/>
      <c r="C108" s="208"/>
      <c r="D108" s="208"/>
      <c r="E108" s="208"/>
      <c r="F108" s="208"/>
      <c r="G108" s="208"/>
    </row>
    <row r="109" spans="1:8" ht="15" x14ac:dyDescent="0.3">
      <c r="A109" s="29"/>
      <c r="B109" s="9"/>
      <c r="C109" s="9"/>
      <c r="D109" s="9"/>
      <c r="E109" s="9"/>
      <c r="F109" s="10"/>
      <c r="G109" s="11"/>
    </row>
    <row r="110" spans="1:8" x14ac:dyDescent="0.2">
      <c r="A110" s="12" t="s">
        <v>2</v>
      </c>
      <c r="B110" s="12" t="s">
        <v>3</v>
      </c>
      <c r="C110" s="13" t="s">
        <v>4</v>
      </c>
      <c r="D110" s="14" t="s">
        <v>25</v>
      </c>
      <c r="E110" s="13" t="s">
        <v>6</v>
      </c>
      <c r="F110" s="13" t="s">
        <v>7</v>
      </c>
      <c r="G110" s="13" t="s">
        <v>32</v>
      </c>
      <c r="H110" s="13" t="s">
        <v>8</v>
      </c>
    </row>
    <row r="111" spans="1:8" ht="30" x14ac:dyDescent="0.3">
      <c r="A111" s="15">
        <v>1</v>
      </c>
      <c r="B111" s="16">
        <v>40624</v>
      </c>
      <c r="C111" s="17" t="s">
        <v>173</v>
      </c>
      <c r="D111" s="18" t="s">
        <v>615</v>
      </c>
      <c r="E111" s="19" t="s">
        <v>616</v>
      </c>
      <c r="F111" s="20" t="s">
        <v>617</v>
      </c>
      <c r="G111" s="21">
        <v>0</v>
      </c>
      <c r="H111" s="21">
        <v>1200</v>
      </c>
    </row>
    <row r="112" spans="1:8" ht="30" x14ac:dyDescent="0.3">
      <c r="A112" s="15">
        <v>2</v>
      </c>
      <c r="B112" s="16">
        <v>40624</v>
      </c>
      <c r="C112" s="17" t="s">
        <v>173</v>
      </c>
      <c r="D112" s="18" t="s">
        <v>618</v>
      </c>
      <c r="E112" s="19" t="s">
        <v>616</v>
      </c>
      <c r="F112" s="20" t="s">
        <v>619</v>
      </c>
      <c r="G112" s="21">
        <v>66.08</v>
      </c>
      <c r="H112" s="21">
        <v>0</v>
      </c>
    </row>
    <row r="113" spans="1:8" ht="30" x14ac:dyDescent="0.3">
      <c r="A113" s="15">
        <v>3</v>
      </c>
      <c r="B113" s="16">
        <v>40623</v>
      </c>
      <c r="C113" s="17" t="s">
        <v>173</v>
      </c>
      <c r="D113" s="18" t="s">
        <v>620</v>
      </c>
      <c r="E113" s="19" t="s">
        <v>621</v>
      </c>
      <c r="F113" s="20" t="s">
        <v>622</v>
      </c>
      <c r="G113" s="21">
        <v>0</v>
      </c>
      <c r="H113" s="21">
        <v>166.71</v>
      </c>
    </row>
    <row r="114" spans="1:8" ht="30" x14ac:dyDescent="0.3">
      <c r="A114" s="15">
        <v>4</v>
      </c>
      <c r="B114" s="16">
        <v>40623</v>
      </c>
      <c r="C114" s="17" t="s">
        <v>173</v>
      </c>
      <c r="D114" s="18" t="s">
        <v>623</v>
      </c>
      <c r="E114" s="19" t="s">
        <v>621</v>
      </c>
      <c r="F114" s="20" t="s">
        <v>624</v>
      </c>
      <c r="G114" s="21">
        <v>155.76</v>
      </c>
      <c r="H114" s="21">
        <v>0</v>
      </c>
    </row>
    <row r="115" spans="1:8" ht="15" x14ac:dyDescent="0.3">
      <c r="A115" s="29"/>
      <c r="B115" s="30"/>
      <c r="C115" s="37"/>
      <c r="D115" s="30"/>
      <c r="E115" s="5"/>
      <c r="F115" s="46" t="s">
        <v>24</v>
      </c>
      <c r="G115" s="36">
        <f>SUM(G111:G114)</f>
        <v>221.83999999999997</v>
      </c>
      <c r="H115" s="27">
        <f>SUM(H111:H114)</f>
        <v>1366.71</v>
      </c>
    </row>
    <row r="120" spans="1:8" ht="15" customHeight="1" x14ac:dyDescent="0.3">
      <c r="A120" s="29"/>
      <c r="B120" s="30"/>
      <c r="C120" s="37"/>
      <c r="D120" s="30"/>
      <c r="E120" s="5"/>
      <c r="F120" s="207" t="s">
        <v>0</v>
      </c>
      <c r="G120" s="207"/>
    </row>
    <row r="121" spans="1:8" ht="18.75" x14ac:dyDescent="0.3">
      <c r="A121" s="31" t="s">
        <v>1</v>
      </c>
      <c r="B121" s="29"/>
      <c r="C121" s="37"/>
      <c r="D121" s="30"/>
      <c r="E121" s="5"/>
      <c r="F121" s="29"/>
      <c r="G121" s="29"/>
    </row>
    <row r="122" spans="1:8" ht="15" x14ac:dyDescent="0.3">
      <c r="A122" s="29"/>
      <c r="B122" s="30"/>
      <c r="C122" s="37"/>
      <c r="D122" s="30"/>
      <c r="E122" s="5"/>
      <c r="F122" s="5"/>
      <c r="G122" s="32"/>
    </row>
    <row r="123" spans="1:8" ht="15" x14ac:dyDescent="0.3">
      <c r="A123" s="29"/>
      <c r="B123" s="30"/>
      <c r="C123" s="37"/>
      <c r="D123" s="30"/>
      <c r="E123" s="5"/>
      <c r="F123" s="5"/>
      <c r="G123" s="32"/>
    </row>
    <row r="124" spans="1:8" ht="18" x14ac:dyDescent="0.25">
      <c r="A124" s="208" t="s">
        <v>576</v>
      </c>
      <c r="B124" s="208"/>
      <c r="C124" s="208"/>
      <c r="D124" s="208"/>
      <c r="E124" s="208"/>
      <c r="F124" s="208"/>
      <c r="G124" s="208"/>
    </row>
    <row r="125" spans="1:8" ht="15" x14ac:dyDescent="0.3">
      <c r="A125" s="29"/>
      <c r="B125" s="9"/>
      <c r="C125" s="9"/>
      <c r="D125" s="9"/>
      <c r="E125" s="9"/>
      <c r="F125" s="10"/>
      <c r="G125" s="11"/>
    </row>
    <row r="126" spans="1:8" x14ac:dyDescent="0.2">
      <c r="A126" s="12" t="s">
        <v>2</v>
      </c>
      <c r="B126" s="12" t="s">
        <v>3</v>
      </c>
      <c r="C126" s="13" t="s">
        <v>4</v>
      </c>
      <c r="D126" s="14" t="s">
        <v>25</v>
      </c>
      <c r="E126" s="13" t="s">
        <v>6</v>
      </c>
      <c r="F126" s="13" t="s">
        <v>7</v>
      </c>
      <c r="G126" s="13" t="s">
        <v>32</v>
      </c>
    </row>
    <row r="127" spans="1:8" ht="45" x14ac:dyDescent="0.3">
      <c r="A127" s="15">
        <v>1</v>
      </c>
      <c r="B127" s="16">
        <v>40620</v>
      </c>
      <c r="C127" s="17" t="s">
        <v>625</v>
      </c>
      <c r="D127" s="18" t="s">
        <v>626</v>
      </c>
      <c r="E127" s="19" t="s">
        <v>627</v>
      </c>
      <c r="F127" s="20" t="s">
        <v>628</v>
      </c>
      <c r="G127" s="21">
        <v>3304</v>
      </c>
      <c r="H127" t="s">
        <v>27</v>
      </c>
    </row>
    <row r="128" spans="1:8" ht="15" x14ac:dyDescent="0.3">
      <c r="A128" s="29"/>
      <c r="B128" s="30"/>
      <c r="C128" s="37"/>
      <c r="D128" s="30"/>
      <c r="E128" s="5"/>
      <c r="F128" s="46" t="s">
        <v>24</v>
      </c>
      <c r="G128" s="36">
        <f>+G127</f>
        <v>3304</v>
      </c>
    </row>
  </sheetData>
  <sheetProtection selectLockedCells="1" selectUnlockedCells="1"/>
  <mergeCells count="17">
    <mergeCell ref="F103:G103"/>
    <mergeCell ref="A107:G107"/>
    <mergeCell ref="A108:G108"/>
    <mergeCell ref="F120:G120"/>
    <mergeCell ref="A124:G124"/>
    <mergeCell ref="A93:G93"/>
    <mergeCell ref="F1:G1"/>
    <mergeCell ref="A5:G5"/>
    <mergeCell ref="F34:G34"/>
    <mergeCell ref="A38:G38"/>
    <mergeCell ref="A51:E51"/>
    <mergeCell ref="A54:G54"/>
    <mergeCell ref="F63:G63"/>
    <mergeCell ref="A67:G67"/>
    <mergeCell ref="A68:G68"/>
    <mergeCell ref="A85:G87"/>
    <mergeCell ref="F89:G89"/>
  </mergeCells>
  <printOptions horizontalCentered="1"/>
  <pageMargins left="0" right="0" top="0.59027777777777779" bottom="0.59027777777777779" header="0.51180555555555551" footer="0.51180555555555551"/>
  <pageSetup paperSize="9" scale="85" firstPageNumber="0" orientation="portrait" horizontalDpi="300" verticalDpi="3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73"/>
  <sheetViews>
    <sheetView workbookViewId="0">
      <selection activeCell="E11" sqref="E11"/>
    </sheetView>
  </sheetViews>
  <sheetFormatPr baseColWidth="10" defaultColWidth="10.7109375" defaultRowHeight="12.75" x14ac:dyDescent="0.2"/>
  <cols>
    <col min="1" max="1" width="4.42578125" customWidth="1"/>
    <col min="2" max="2" width="12.85546875" customWidth="1"/>
    <col min="4" max="4" width="13" customWidth="1"/>
    <col min="5" max="5" width="28.140625" customWidth="1"/>
    <col min="6" max="6" width="36.7109375" customWidth="1"/>
    <col min="7" max="7" width="13.28515625" customWidth="1"/>
    <col min="9" max="9" width="12.42578125" customWidth="1"/>
  </cols>
  <sheetData>
    <row r="1" spans="1:8" ht="15" customHeight="1" x14ac:dyDescent="0.3">
      <c r="A1" s="1"/>
      <c r="B1" s="2"/>
      <c r="C1" s="3"/>
      <c r="D1" s="4"/>
      <c r="E1" s="5"/>
      <c r="F1" s="207" t="s">
        <v>0</v>
      </c>
      <c r="G1" s="207"/>
    </row>
    <row r="2" spans="1:8" ht="18.75" x14ac:dyDescent="0.3">
      <c r="A2" s="7" t="s">
        <v>1</v>
      </c>
      <c r="B2" s="7"/>
      <c r="C2" s="3"/>
      <c r="D2" s="4"/>
      <c r="E2" s="5"/>
      <c r="F2" s="5"/>
      <c r="G2" s="8"/>
    </row>
    <row r="3" spans="1:8" ht="15" x14ac:dyDescent="0.3">
      <c r="A3" s="1"/>
      <c r="B3" s="2"/>
      <c r="C3" s="3"/>
      <c r="D3" s="4"/>
      <c r="E3" s="5"/>
      <c r="F3" s="5"/>
      <c r="G3" s="8"/>
    </row>
    <row r="4" spans="1:8" ht="15" x14ac:dyDescent="0.3">
      <c r="A4" s="1"/>
      <c r="B4" s="2"/>
      <c r="C4" s="3"/>
      <c r="D4" s="4"/>
      <c r="E4" s="5"/>
      <c r="F4" s="5"/>
      <c r="G4" s="8"/>
    </row>
    <row r="5" spans="1:8" ht="18" x14ac:dyDescent="0.25">
      <c r="A5" s="208" t="s">
        <v>629</v>
      </c>
      <c r="B5" s="208"/>
      <c r="C5" s="208"/>
      <c r="D5" s="208"/>
      <c r="E5" s="208"/>
      <c r="F5" s="208"/>
      <c r="G5" s="208"/>
    </row>
    <row r="6" spans="1:8" ht="15" x14ac:dyDescent="0.3">
      <c r="A6" s="1"/>
      <c r="B6" s="9"/>
      <c r="C6" s="9"/>
      <c r="D6" s="9"/>
      <c r="E6" s="9"/>
      <c r="F6" s="10"/>
      <c r="G6" s="11"/>
    </row>
    <row r="7" spans="1:8" x14ac:dyDescent="0.2">
      <c r="A7" s="12" t="s">
        <v>2</v>
      </c>
      <c r="B7" s="12" t="s">
        <v>3</v>
      </c>
      <c r="C7" s="13" t="s">
        <v>4</v>
      </c>
      <c r="D7" s="14" t="s">
        <v>5</v>
      </c>
      <c r="E7" s="13" t="s">
        <v>6</v>
      </c>
      <c r="F7" s="13" t="s">
        <v>7</v>
      </c>
      <c r="G7" s="13" t="s">
        <v>8</v>
      </c>
    </row>
    <row r="8" spans="1:8" s="1" customFormat="1" ht="30" x14ac:dyDescent="0.3">
      <c r="A8" s="15">
        <v>1</v>
      </c>
      <c r="B8" s="16">
        <v>40585</v>
      </c>
      <c r="C8" s="33" t="s">
        <v>630</v>
      </c>
      <c r="D8" s="18">
        <f>+B8</f>
        <v>40585</v>
      </c>
      <c r="E8" s="19" t="s">
        <v>199</v>
      </c>
      <c r="F8" s="20" t="s">
        <v>200</v>
      </c>
      <c r="G8" s="21">
        <v>214.2</v>
      </c>
      <c r="H8" s="34"/>
    </row>
    <row r="9" spans="1:8" s="1" customFormat="1" ht="30" x14ac:dyDescent="0.3">
      <c r="A9" s="15">
        <v>2</v>
      </c>
      <c r="B9" s="16">
        <v>40605</v>
      </c>
      <c r="C9" s="33" t="s">
        <v>631</v>
      </c>
      <c r="D9" s="18">
        <f>+B9</f>
        <v>40605</v>
      </c>
      <c r="E9" s="19" t="s">
        <v>13</v>
      </c>
      <c r="F9" s="20" t="s">
        <v>632</v>
      </c>
      <c r="G9" s="21">
        <v>270.22000000000003</v>
      </c>
      <c r="H9" s="34"/>
    </row>
    <row r="10" spans="1:8" s="1" customFormat="1" ht="30" x14ac:dyDescent="0.3">
      <c r="A10" s="15">
        <v>3</v>
      </c>
      <c r="B10" s="16">
        <v>40569</v>
      </c>
      <c r="C10" s="33" t="s">
        <v>633</v>
      </c>
      <c r="D10" s="18">
        <f>+B10+30</f>
        <v>40599</v>
      </c>
      <c r="E10" s="19" t="s">
        <v>634</v>
      </c>
      <c r="F10" s="20" t="s">
        <v>635</v>
      </c>
      <c r="G10" s="21">
        <v>85.72</v>
      </c>
      <c r="H10" s="34"/>
    </row>
    <row r="11" spans="1:8" s="1" customFormat="1" ht="26.25" x14ac:dyDescent="0.3">
      <c r="A11" s="15">
        <v>4</v>
      </c>
      <c r="B11" s="16">
        <v>36938</v>
      </c>
      <c r="C11" s="33" t="s">
        <v>636</v>
      </c>
      <c r="D11" s="18">
        <f>+B11+30</f>
        <v>36968</v>
      </c>
      <c r="E11" s="19" t="s">
        <v>637</v>
      </c>
      <c r="F11" s="20" t="s">
        <v>638</v>
      </c>
      <c r="G11" s="21">
        <v>1338.75</v>
      </c>
      <c r="H11" s="34"/>
    </row>
    <row r="12" spans="1:8" s="1" customFormat="1" ht="26.25" x14ac:dyDescent="0.3">
      <c r="A12" s="15">
        <v>5</v>
      </c>
      <c r="B12" s="16">
        <v>40581</v>
      </c>
      <c r="C12" s="33" t="s">
        <v>639</v>
      </c>
      <c r="D12" s="18">
        <f>+B12+30</f>
        <v>40611</v>
      </c>
      <c r="E12" s="19" t="s">
        <v>20</v>
      </c>
      <c r="F12" s="20" t="s">
        <v>640</v>
      </c>
      <c r="G12" s="21">
        <v>293.99</v>
      </c>
      <c r="H12" s="34"/>
    </row>
    <row r="13" spans="1:8" s="1" customFormat="1" ht="30" x14ac:dyDescent="0.3">
      <c r="A13" s="15">
        <v>6</v>
      </c>
      <c r="B13" s="16">
        <v>40616</v>
      </c>
      <c r="C13" s="33" t="s">
        <v>641</v>
      </c>
      <c r="D13" s="18">
        <v>40620</v>
      </c>
      <c r="E13" s="19" t="s">
        <v>313</v>
      </c>
      <c r="F13" s="20" t="s">
        <v>642</v>
      </c>
      <c r="G13" s="21">
        <v>76.95</v>
      </c>
      <c r="H13" s="34"/>
    </row>
    <row r="14" spans="1:8" s="1" customFormat="1" ht="39" x14ac:dyDescent="0.3">
      <c r="A14" s="15">
        <v>7</v>
      </c>
      <c r="B14" s="16">
        <v>40616</v>
      </c>
      <c r="C14" s="33" t="s">
        <v>643</v>
      </c>
      <c r="D14" s="18">
        <v>40620</v>
      </c>
      <c r="E14" s="19" t="s">
        <v>313</v>
      </c>
      <c r="F14" s="20" t="s">
        <v>644</v>
      </c>
      <c r="G14" s="21">
        <v>36.46</v>
      </c>
      <c r="H14" s="34" t="s">
        <v>645</v>
      </c>
    </row>
    <row r="15" spans="1:8" ht="15" x14ac:dyDescent="0.2">
      <c r="A15" s="22"/>
      <c r="B15" s="22"/>
      <c r="C15" s="23"/>
      <c r="D15" s="24"/>
      <c r="E15" s="25"/>
      <c r="F15" s="26" t="s">
        <v>24</v>
      </c>
      <c r="G15" s="27">
        <f>SUM(G8:G14)</f>
        <v>2316.29</v>
      </c>
    </row>
    <row r="17" spans="1:9" s="1" customFormat="1" ht="15" x14ac:dyDescent="0.3">
      <c r="F17" s="5"/>
      <c r="G17" s="11"/>
      <c r="I17" s="28"/>
    </row>
    <row r="18" spans="1:9" s="1" customFormat="1" ht="15" x14ac:dyDescent="0.3">
      <c r="F18" s="5"/>
      <c r="G18" s="11"/>
      <c r="I18" s="28"/>
    </row>
    <row r="19" spans="1:9" s="1" customFormat="1" ht="15" customHeight="1" x14ac:dyDescent="0.3">
      <c r="A19" s="29"/>
      <c r="B19" s="30"/>
      <c r="C19" s="3"/>
      <c r="D19" s="30"/>
      <c r="E19" s="5"/>
      <c r="F19" s="207" t="s">
        <v>0</v>
      </c>
      <c r="G19" s="207"/>
      <c r="I19" s="28"/>
    </row>
    <row r="20" spans="1:9" s="1" customFormat="1" ht="18.75" x14ac:dyDescent="0.3">
      <c r="A20" s="31" t="s">
        <v>1</v>
      </c>
      <c r="B20" s="29"/>
      <c r="C20" s="3"/>
      <c r="D20" s="30"/>
      <c r="E20" s="5"/>
      <c r="F20" s="29"/>
      <c r="G20" s="29"/>
      <c r="I20" s="28"/>
    </row>
    <row r="21" spans="1:9" s="1" customFormat="1" ht="15" x14ac:dyDescent="0.3">
      <c r="A21" s="29"/>
      <c r="B21" s="30"/>
      <c r="C21" s="3"/>
      <c r="D21" s="30"/>
      <c r="E21" s="5"/>
      <c r="F21" s="5"/>
      <c r="G21" s="32"/>
      <c r="I21" s="28"/>
    </row>
    <row r="22" spans="1:9" s="1" customFormat="1" ht="15" x14ac:dyDescent="0.3">
      <c r="A22" s="29"/>
      <c r="B22" s="30"/>
      <c r="C22" s="3"/>
      <c r="D22" s="30"/>
      <c r="E22" s="5"/>
      <c r="F22" s="5"/>
      <c r="G22" s="32"/>
    </row>
    <row r="23" spans="1:9" s="1" customFormat="1" ht="18.75" x14ac:dyDescent="0.3">
      <c r="A23" s="208" t="s">
        <v>646</v>
      </c>
      <c r="B23" s="208"/>
      <c r="C23" s="208"/>
      <c r="D23" s="208"/>
      <c r="E23" s="208"/>
      <c r="F23" s="208"/>
      <c r="G23" s="208"/>
    </row>
    <row r="24" spans="1:9" s="1" customFormat="1" ht="15" x14ac:dyDescent="0.3">
      <c r="A24" s="29"/>
      <c r="B24" s="9"/>
      <c r="C24" s="9"/>
      <c r="D24" s="9"/>
      <c r="E24" s="9"/>
      <c r="F24" s="10"/>
      <c r="G24" s="11"/>
    </row>
    <row r="25" spans="1:9" s="1" customFormat="1" ht="15" x14ac:dyDescent="0.3">
      <c r="A25" s="12" t="s">
        <v>2</v>
      </c>
      <c r="B25" s="12" t="s">
        <v>3</v>
      </c>
      <c r="C25" s="13" t="s">
        <v>4</v>
      </c>
      <c r="D25" s="14" t="s">
        <v>25</v>
      </c>
      <c r="E25" s="13" t="s">
        <v>6</v>
      </c>
      <c r="F25" s="13" t="s">
        <v>7</v>
      </c>
      <c r="G25" s="13" t="s">
        <v>8</v>
      </c>
    </row>
    <row r="26" spans="1:9" s="1" customFormat="1" ht="30" x14ac:dyDescent="0.3">
      <c r="A26" s="15">
        <v>1</v>
      </c>
      <c r="B26" s="16">
        <v>40595</v>
      </c>
      <c r="C26" s="33" t="s">
        <v>647</v>
      </c>
      <c r="D26" s="18" t="s">
        <v>648</v>
      </c>
      <c r="E26" s="19" t="s">
        <v>649</v>
      </c>
      <c r="F26" s="20" t="s">
        <v>650</v>
      </c>
      <c r="G26" s="21">
        <v>148.75</v>
      </c>
      <c r="H26" s="34" t="s">
        <v>27</v>
      </c>
    </row>
    <row r="27" spans="1:9" ht="45" x14ac:dyDescent="0.3">
      <c r="A27" s="15">
        <v>2</v>
      </c>
      <c r="B27" s="16">
        <v>40555</v>
      </c>
      <c r="C27" s="17" t="s">
        <v>651</v>
      </c>
      <c r="D27" s="18" t="s">
        <v>652</v>
      </c>
      <c r="E27" s="19" t="s">
        <v>653</v>
      </c>
      <c r="F27" s="20" t="s">
        <v>654</v>
      </c>
      <c r="G27" s="21">
        <f>(787.19+787.19+1049.58-((787.19+787.19+1049.58)*0.12))</f>
        <v>2309.0848000000001</v>
      </c>
      <c r="H27" s="45" t="s">
        <v>27</v>
      </c>
    </row>
    <row r="28" spans="1:9" ht="30" x14ac:dyDescent="0.3">
      <c r="A28" s="15">
        <v>3</v>
      </c>
      <c r="B28" s="16">
        <v>40621</v>
      </c>
      <c r="C28" s="17" t="s">
        <v>655</v>
      </c>
      <c r="D28" s="18" t="s">
        <v>656</v>
      </c>
      <c r="E28" s="19" t="s">
        <v>657</v>
      </c>
      <c r="F28" s="20" t="s">
        <v>249</v>
      </c>
      <c r="G28" s="21">
        <v>5430.74</v>
      </c>
      <c r="H28" t="s">
        <v>27</v>
      </c>
    </row>
    <row r="29" spans="1:9" s="1" customFormat="1" ht="24" customHeight="1" x14ac:dyDescent="0.3">
      <c r="A29" s="29"/>
      <c r="B29" s="30"/>
      <c r="C29" s="3"/>
      <c r="D29" s="30"/>
      <c r="E29" s="5"/>
      <c r="F29" s="26" t="s">
        <v>24</v>
      </c>
      <c r="G29" s="27">
        <f>SUM(G26:G28)</f>
        <v>7888.5748000000003</v>
      </c>
    </row>
    <row r="30" spans="1:9" s="1" customFormat="1" ht="24" customHeight="1" x14ac:dyDescent="0.3">
      <c r="F30" s="5"/>
      <c r="G30" s="11"/>
    </row>
    <row r="31" spans="1:9" ht="24" customHeight="1" x14ac:dyDescent="0.2"/>
    <row r="32" spans="1:9" ht="24" customHeight="1" x14ac:dyDescent="0.2"/>
    <row r="33" spans="1:9" ht="24" customHeight="1" x14ac:dyDescent="0.3">
      <c r="A33" s="1"/>
      <c r="B33" s="37"/>
      <c r="C33" s="37"/>
      <c r="D33" s="37"/>
      <c r="E33" s="47"/>
      <c r="F33" s="212" t="s">
        <v>0</v>
      </c>
      <c r="G33" s="212"/>
    </row>
    <row r="34" spans="1:9" ht="24" customHeight="1" x14ac:dyDescent="0.3">
      <c r="A34" s="209" t="s">
        <v>1</v>
      </c>
      <c r="B34" s="209"/>
      <c r="C34" s="209"/>
      <c r="D34" s="209"/>
      <c r="E34" s="209"/>
      <c r="F34" s="47"/>
      <c r="G34" s="47"/>
    </row>
    <row r="35" spans="1:9" ht="24" customHeight="1" x14ac:dyDescent="0.3">
      <c r="A35" s="1"/>
      <c r="B35" s="37"/>
      <c r="C35" s="37"/>
      <c r="D35" s="37"/>
      <c r="E35" s="47"/>
      <c r="F35" s="47"/>
      <c r="G35" s="48"/>
    </row>
    <row r="36" spans="1:9" ht="24" customHeight="1" x14ac:dyDescent="0.3">
      <c r="A36" s="1"/>
      <c r="B36" s="37"/>
      <c r="C36" s="37"/>
      <c r="D36" s="37"/>
      <c r="E36" s="47"/>
      <c r="F36" s="47"/>
      <c r="G36" s="48"/>
    </row>
    <row r="37" spans="1:9" ht="24" customHeight="1" x14ac:dyDescent="0.25">
      <c r="A37" s="210" t="s">
        <v>658</v>
      </c>
      <c r="B37" s="210"/>
      <c r="C37" s="210"/>
      <c r="D37" s="210"/>
      <c r="E37" s="210"/>
      <c r="F37" s="210"/>
      <c r="G37" s="210"/>
    </row>
    <row r="38" spans="1:9" ht="15" x14ac:dyDescent="0.3">
      <c r="A38" s="1"/>
      <c r="B38" s="49"/>
      <c r="C38" s="49"/>
      <c r="D38" s="49"/>
      <c r="E38" s="49"/>
      <c r="F38" s="50"/>
      <c r="G38" s="47"/>
    </row>
    <row r="39" spans="1:9" x14ac:dyDescent="0.2">
      <c r="A39" s="51" t="s">
        <v>2</v>
      </c>
      <c r="B39" s="51" t="s">
        <v>3</v>
      </c>
      <c r="C39" s="51" t="s">
        <v>4</v>
      </c>
      <c r="D39" s="51" t="s">
        <v>5</v>
      </c>
      <c r="E39" s="51" t="s">
        <v>6</v>
      </c>
      <c r="F39" s="51" t="s">
        <v>146</v>
      </c>
      <c r="G39" s="13" t="s">
        <v>8</v>
      </c>
    </row>
    <row r="40" spans="1:9" ht="30" x14ac:dyDescent="0.3">
      <c r="A40" s="52">
        <v>1</v>
      </c>
      <c r="B40" s="53">
        <v>40564</v>
      </c>
      <c r="C40" s="17" t="s">
        <v>659</v>
      </c>
      <c r="D40" s="54">
        <v>40624</v>
      </c>
      <c r="E40" s="19" t="s">
        <v>523</v>
      </c>
      <c r="F40" s="20" t="s">
        <v>660</v>
      </c>
      <c r="G40" s="21">
        <v>6738.05</v>
      </c>
      <c r="H40" t="s">
        <v>661</v>
      </c>
      <c r="I40" t="s">
        <v>27</v>
      </c>
    </row>
    <row r="41" spans="1:9" ht="30" x14ac:dyDescent="0.3">
      <c r="A41" s="52">
        <v>2</v>
      </c>
      <c r="B41" s="53">
        <v>40575</v>
      </c>
      <c r="C41" s="17" t="s">
        <v>662</v>
      </c>
      <c r="D41" s="54">
        <v>40630</v>
      </c>
      <c r="E41" s="19" t="s">
        <v>663</v>
      </c>
      <c r="F41" s="20" t="s">
        <v>149</v>
      </c>
      <c r="G41" s="21">
        <v>8932.7199999999993</v>
      </c>
      <c r="H41" t="s">
        <v>664</v>
      </c>
      <c r="I41" t="s">
        <v>27</v>
      </c>
    </row>
    <row r="42" spans="1:9" ht="15" x14ac:dyDescent="0.3">
      <c r="A42" s="1"/>
      <c r="B42" s="37"/>
      <c r="C42" s="37"/>
      <c r="D42" s="37"/>
      <c r="E42" s="47"/>
      <c r="F42" s="51" t="s">
        <v>155</v>
      </c>
      <c r="G42" s="27">
        <f>SUM(G40:G41)</f>
        <v>15670.77</v>
      </c>
    </row>
    <row r="47" spans="1:9" x14ac:dyDescent="0.2">
      <c r="A47" s="211" t="s">
        <v>609</v>
      </c>
      <c r="B47" s="211"/>
      <c r="C47" s="211"/>
      <c r="D47" s="211"/>
      <c r="E47" s="211"/>
      <c r="F47" s="211"/>
      <c r="G47" s="211"/>
    </row>
    <row r="48" spans="1:9" x14ac:dyDescent="0.2">
      <c r="A48" s="211"/>
      <c r="B48" s="211"/>
      <c r="C48" s="211"/>
      <c r="D48" s="211"/>
      <c r="E48" s="211"/>
      <c r="F48" s="211"/>
      <c r="G48" s="211"/>
    </row>
    <row r="49" spans="1:8" x14ac:dyDescent="0.2">
      <c r="A49" s="211"/>
      <c r="B49" s="211"/>
      <c r="C49" s="211"/>
      <c r="D49" s="211"/>
      <c r="E49" s="211"/>
      <c r="F49" s="211"/>
      <c r="G49" s="211"/>
    </row>
    <row r="51" spans="1:8" ht="15" customHeight="1" x14ac:dyDescent="0.3">
      <c r="A51" s="1"/>
      <c r="B51" s="2"/>
      <c r="C51" s="3"/>
      <c r="D51" s="4"/>
      <c r="E51" s="5"/>
      <c r="F51" s="207" t="s">
        <v>0</v>
      </c>
      <c r="G51" s="207"/>
    </row>
    <row r="52" spans="1:8" ht="18.75" x14ac:dyDescent="0.3">
      <c r="A52" s="7" t="s">
        <v>1</v>
      </c>
      <c r="B52" s="7"/>
      <c r="C52" s="3"/>
      <c r="D52" s="4"/>
      <c r="E52" s="5"/>
      <c r="F52" s="5"/>
      <c r="G52" s="8"/>
    </row>
    <row r="53" spans="1:8" ht="15" x14ac:dyDescent="0.3">
      <c r="A53" s="1"/>
      <c r="B53" s="2"/>
      <c r="C53" s="3"/>
      <c r="D53" s="4"/>
      <c r="E53" s="5"/>
      <c r="F53" s="5"/>
      <c r="G53" s="8"/>
    </row>
    <row r="54" spans="1:8" ht="15" x14ac:dyDescent="0.3">
      <c r="A54" s="1"/>
      <c r="B54" s="2"/>
      <c r="C54" s="3"/>
      <c r="D54" s="4"/>
      <c r="E54" s="5"/>
      <c r="F54" s="5"/>
      <c r="G54" s="8"/>
    </row>
    <row r="55" spans="1:8" ht="18" x14ac:dyDescent="0.25">
      <c r="A55" s="208" t="s">
        <v>629</v>
      </c>
      <c r="B55" s="208"/>
      <c r="C55" s="208"/>
      <c r="D55" s="208"/>
      <c r="E55" s="208"/>
      <c r="F55" s="208"/>
      <c r="G55" s="208"/>
    </row>
    <row r="56" spans="1:8" ht="15" x14ac:dyDescent="0.3">
      <c r="A56" s="1"/>
      <c r="B56" s="9"/>
      <c r="C56" s="9"/>
      <c r="D56" s="9"/>
      <c r="E56" s="9"/>
      <c r="F56" s="10"/>
      <c r="G56" s="11"/>
    </row>
    <row r="57" spans="1:8" x14ac:dyDescent="0.2">
      <c r="A57" s="12" t="s">
        <v>2</v>
      </c>
      <c r="B57" s="12" t="s">
        <v>3</v>
      </c>
      <c r="C57" s="13" t="s">
        <v>4</v>
      </c>
      <c r="D57" s="14" t="s">
        <v>5</v>
      </c>
      <c r="E57" s="13" t="s">
        <v>6</v>
      </c>
      <c r="F57" s="13" t="s">
        <v>7</v>
      </c>
      <c r="G57" s="13" t="s">
        <v>8</v>
      </c>
    </row>
    <row r="58" spans="1:8" s="1" customFormat="1" ht="30" x14ac:dyDescent="0.3">
      <c r="A58" s="15">
        <v>1</v>
      </c>
      <c r="B58" s="16">
        <v>40616</v>
      </c>
      <c r="C58" s="33" t="s">
        <v>665</v>
      </c>
      <c r="D58" s="18">
        <v>40620</v>
      </c>
      <c r="E58" s="19" t="s">
        <v>313</v>
      </c>
      <c r="F58" s="20" t="s">
        <v>666</v>
      </c>
      <c r="G58" s="21">
        <v>117.89</v>
      </c>
      <c r="H58" s="34"/>
    </row>
    <row r="59" spans="1:8" ht="20.25" customHeight="1" x14ac:dyDescent="0.2">
      <c r="A59" s="22"/>
      <c r="B59" s="22"/>
      <c r="C59" s="23"/>
      <c r="D59" s="24"/>
      <c r="E59" s="25"/>
      <c r="F59" s="26" t="s">
        <v>24</v>
      </c>
      <c r="G59" s="27">
        <f>SUM(G58:G58)</f>
        <v>117.89</v>
      </c>
    </row>
    <row r="60" spans="1:8" ht="20.25" customHeight="1" x14ac:dyDescent="0.2"/>
    <row r="61" spans="1:8" ht="20.25" customHeight="1" x14ac:dyDescent="0.2"/>
    <row r="62" spans="1:8" ht="20.25" customHeight="1" x14ac:dyDescent="0.3">
      <c r="A62" s="1"/>
      <c r="B62" s="1"/>
      <c r="C62" s="1"/>
      <c r="D62" s="1"/>
      <c r="E62" s="1"/>
      <c r="F62" s="5"/>
      <c r="G62" s="11"/>
      <c r="H62" s="1"/>
    </row>
    <row r="63" spans="1:8" ht="15" x14ac:dyDescent="0.3">
      <c r="A63" s="1"/>
      <c r="B63" s="1"/>
      <c r="C63" s="1"/>
      <c r="D63" s="1"/>
      <c r="E63" s="1"/>
      <c r="F63" s="5"/>
      <c r="G63" s="11"/>
      <c r="H63" s="1"/>
    </row>
    <row r="64" spans="1:8" ht="15" customHeight="1" x14ac:dyDescent="0.3">
      <c r="A64" s="29"/>
      <c r="B64" s="30"/>
      <c r="C64" s="37"/>
      <c r="D64" s="30"/>
      <c r="E64" s="5"/>
      <c r="F64" s="207" t="s">
        <v>0</v>
      </c>
      <c r="G64" s="207"/>
      <c r="H64" s="1"/>
    </row>
    <row r="65" spans="1:8" ht="18.75" x14ac:dyDescent="0.3">
      <c r="A65" s="31" t="s">
        <v>1</v>
      </c>
      <c r="B65" s="29"/>
      <c r="C65" s="37"/>
      <c r="D65" s="30"/>
      <c r="E65" s="5"/>
      <c r="F65" s="29"/>
      <c r="G65" s="29"/>
      <c r="H65" s="1"/>
    </row>
    <row r="66" spans="1:8" ht="15" x14ac:dyDescent="0.3">
      <c r="A66" s="29"/>
      <c r="B66" s="30"/>
      <c r="C66" s="37"/>
      <c r="D66" s="30"/>
      <c r="E66" s="5"/>
      <c r="F66" s="5"/>
      <c r="G66" s="32"/>
      <c r="H66" s="1"/>
    </row>
    <row r="67" spans="1:8" ht="15" x14ac:dyDescent="0.3">
      <c r="A67" s="29"/>
      <c r="B67" s="30"/>
      <c r="C67" s="37"/>
      <c r="D67" s="30"/>
      <c r="E67" s="5"/>
      <c r="F67" s="5"/>
      <c r="G67" s="32"/>
      <c r="H67" s="1"/>
    </row>
    <row r="68" spans="1:8" ht="18.75" x14ac:dyDescent="0.3">
      <c r="A68" s="208" t="s">
        <v>646</v>
      </c>
      <c r="B68" s="208"/>
      <c r="C68" s="208"/>
      <c r="D68" s="208"/>
      <c r="E68" s="208"/>
      <c r="F68" s="208"/>
      <c r="G68" s="208"/>
      <c r="H68" s="1"/>
    </row>
    <row r="69" spans="1:8" ht="15" x14ac:dyDescent="0.3">
      <c r="A69" s="29"/>
      <c r="B69" s="9"/>
      <c r="C69" s="9"/>
      <c r="D69" s="9"/>
      <c r="E69" s="9"/>
      <c r="F69" s="10"/>
      <c r="G69" s="11"/>
      <c r="H69" s="1"/>
    </row>
    <row r="70" spans="1:8" ht="15" x14ac:dyDescent="0.3">
      <c r="A70" s="12" t="s">
        <v>2</v>
      </c>
      <c r="B70" s="12" t="s">
        <v>3</v>
      </c>
      <c r="C70" s="13" t="s">
        <v>4</v>
      </c>
      <c r="D70" s="14" t="s">
        <v>25</v>
      </c>
      <c r="E70" s="13" t="s">
        <v>6</v>
      </c>
      <c r="F70" s="13" t="s">
        <v>7</v>
      </c>
      <c r="G70" s="13" t="s">
        <v>8</v>
      </c>
      <c r="H70" s="1"/>
    </row>
    <row r="71" spans="1:8" ht="30" x14ac:dyDescent="0.3">
      <c r="A71" s="15">
        <v>1</v>
      </c>
      <c r="B71" s="16">
        <v>40620</v>
      </c>
      <c r="C71" s="17" t="s">
        <v>667</v>
      </c>
      <c r="D71" s="18" t="s">
        <v>668</v>
      </c>
      <c r="E71" s="19" t="s">
        <v>669</v>
      </c>
      <c r="F71" s="20" t="s">
        <v>670</v>
      </c>
      <c r="G71" s="21">
        <v>87516.09</v>
      </c>
    </row>
    <row r="72" spans="1:8" ht="15" x14ac:dyDescent="0.3">
      <c r="A72" s="29"/>
      <c r="B72" s="30"/>
      <c r="C72" s="37"/>
      <c r="D72" s="30"/>
      <c r="E72" s="5"/>
      <c r="F72" s="26" t="s">
        <v>24</v>
      </c>
      <c r="G72" s="27">
        <f>+G71</f>
        <v>87516.09</v>
      </c>
      <c r="H72" s="1"/>
    </row>
    <row r="73" spans="1:8" ht="15" x14ac:dyDescent="0.3">
      <c r="A73" s="1"/>
      <c r="B73" s="1"/>
      <c r="C73" s="1"/>
      <c r="D73" s="1"/>
      <c r="E73" s="1"/>
      <c r="F73" s="5"/>
      <c r="G73" s="11"/>
      <c r="H73" s="1"/>
    </row>
  </sheetData>
  <sheetProtection selectLockedCells="1" selectUnlockedCells="1"/>
  <mergeCells count="12">
    <mergeCell ref="F64:G64"/>
    <mergeCell ref="A68:G68"/>
    <mergeCell ref="A34:E34"/>
    <mergeCell ref="A37:G37"/>
    <mergeCell ref="A47:G49"/>
    <mergeCell ref="F51:G51"/>
    <mergeCell ref="A55:G55"/>
    <mergeCell ref="F1:G1"/>
    <mergeCell ref="A5:G5"/>
    <mergeCell ref="F19:G19"/>
    <mergeCell ref="A23:G23"/>
    <mergeCell ref="F33:G33"/>
  </mergeCells>
  <printOptions horizontalCentered="1"/>
  <pageMargins left="0" right="0" top="0.98402777777777772" bottom="0.98402777777777772" header="0.51180555555555551" footer="0.51180555555555551"/>
  <pageSetup paperSize="9" scale="85" firstPageNumber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pageSetUpPr fitToPage="1"/>
  </sheetPr>
  <dimension ref="A1:I184"/>
  <sheetViews>
    <sheetView topLeftCell="A67" workbookViewId="0">
      <selection activeCell="E11" sqref="E11"/>
    </sheetView>
  </sheetViews>
  <sheetFormatPr baseColWidth="10" defaultColWidth="10.7109375" defaultRowHeight="12.75" x14ac:dyDescent="0.2"/>
  <cols>
    <col min="1" max="1" width="4.42578125" customWidth="1"/>
    <col min="2" max="2" width="12.85546875" customWidth="1"/>
    <col min="4" max="4" width="13" customWidth="1"/>
    <col min="5" max="5" width="42.28515625" customWidth="1"/>
    <col min="6" max="6" width="36.7109375" customWidth="1"/>
    <col min="7" max="7" width="14.42578125" customWidth="1"/>
    <col min="9" max="9" width="12.42578125" customWidth="1"/>
  </cols>
  <sheetData>
    <row r="1" spans="1:7" ht="15" customHeight="1" x14ac:dyDescent="0.3">
      <c r="A1" s="1"/>
      <c r="B1" s="2"/>
      <c r="C1" s="3"/>
      <c r="D1" s="4"/>
      <c r="E1" s="5"/>
      <c r="F1" s="207" t="s">
        <v>0</v>
      </c>
      <c r="G1" s="207"/>
    </row>
    <row r="2" spans="1:7" ht="18.75" x14ac:dyDescent="0.3">
      <c r="A2" s="7" t="s">
        <v>1</v>
      </c>
      <c r="B2" s="7"/>
      <c r="C2" s="3"/>
      <c r="D2" s="4"/>
      <c r="E2" s="5"/>
      <c r="F2" s="5"/>
      <c r="G2" s="8"/>
    </row>
    <row r="3" spans="1:7" ht="15" x14ac:dyDescent="0.3">
      <c r="A3" s="1"/>
      <c r="B3" s="2"/>
      <c r="C3" s="3"/>
      <c r="D3" s="4"/>
      <c r="E3" s="5"/>
      <c r="F3" s="5"/>
      <c r="G3" s="8"/>
    </row>
    <row r="4" spans="1:7" ht="15" x14ac:dyDescent="0.3">
      <c r="A4" s="1"/>
      <c r="B4" s="2"/>
      <c r="C4" s="3"/>
      <c r="D4" s="4"/>
      <c r="E4" s="5"/>
      <c r="F4" s="5"/>
      <c r="G4" s="8"/>
    </row>
    <row r="5" spans="1:7" ht="18" x14ac:dyDescent="0.25">
      <c r="A5" s="208" t="s">
        <v>671</v>
      </c>
      <c r="B5" s="208"/>
      <c r="C5" s="208"/>
      <c r="D5" s="208"/>
      <c r="E5" s="208"/>
      <c r="F5" s="208"/>
      <c r="G5" s="208"/>
    </row>
    <row r="6" spans="1:7" ht="15" x14ac:dyDescent="0.3">
      <c r="A6" s="1"/>
      <c r="B6" s="9"/>
      <c r="C6" s="9"/>
      <c r="D6" s="9"/>
      <c r="E6" s="9"/>
      <c r="F6" s="10"/>
      <c r="G6" s="11"/>
    </row>
    <row r="7" spans="1:7" x14ac:dyDescent="0.2">
      <c r="A7" s="12" t="s">
        <v>2</v>
      </c>
      <c r="B7" s="12" t="s">
        <v>3</v>
      </c>
      <c r="C7" s="13" t="s">
        <v>4</v>
      </c>
      <c r="D7" s="14" t="s">
        <v>5</v>
      </c>
      <c r="E7" s="13" t="s">
        <v>6</v>
      </c>
      <c r="F7" s="13" t="s">
        <v>7</v>
      </c>
      <c r="G7" s="13" t="s">
        <v>8</v>
      </c>
    </row>
    <row r="8" spans="1:7" s="1" customFormat="1" ht="30" x14ac:dyDescent="0.3">
      <c r="A8" s="15">
        <v>1</v>
      </c>
      <c r="B8" s="16">
        <v>40591</v>
      </c>
      <c r="C8" s="17" t="s">
        <v>672</v>
      </c>
      <c r="D8" s="18">
        <f>+B8+30</f>
        <v>40621</v>
      </c>
      <c r="E8" s="19" t="s">
        <v>189</v>
      </c>
      <c r="F8" s="20" t="s">
        <v>673</v>
      </c>
      <c r="G8" s="21">
        <v>104.6</v>
      </c>
    </row>
    <row r="9" spans="1:7" s="1" customFormat="1" ht="30" x14ac:dyDescent="0.3">
      <c r="A9" s="15">
        <v>2</v>
      </c>
      <c r="B9" s="16">
        <v>40598</v>
      </c>
      <c r="C9" s="17" t="s">
        <v>674</v>
      </c>
      <c r="D9" s="18">
        <f>+B9+15</f>
        <v>40613</v>
      </c>
      <c r="E9" s="19" t="s">
        <v>675</v>
      </c>
      <c r="F9" s="20" t="s">
        <v>676</v>
      </c>
      <c r="G9" s="21">
        <v>2070.6</v>
      </c>
    </row>
    <row r="10" spans="1:7" s="1" customFormat="1" ht="15" x14ac:dyDescent="0.3">
      <c r="A10" s="15">
        <v>3</v>
      </c>
      <c r="B10" s="16">
        <v>40606</v>
      </c>
      <c r="C10" s="17" t="s">
        <v>677</v>
      </c>
      <c r="D10" s="18">
        <f>+B10</f>
        <v>40606</v>
      </c>
      <c r="E10" s="19" t="s">
        <v>318</v>
      </c>
      <c r="F10" s="20" t="s">
        <v>678</v>
      </c>
      <c r="G10" s="21">
        <v>708</v>
      </c>
    </row>
    <row r="11" spans="1:7" s="1" customFormat="1" ht="15" x14ac:dyDescent="0.3">
      <c r="A11" s="15">
        <v>4</v>
      </c>
      <c r="B11" s="16">
        <v>40593</v>
      </c>
      <c r="C11" s="17" t="s">
        <v>679</v>
      </c>
      <c r="D11" s="18">
        <f>+B11+15</f>
        <v>40608</v>
      </c>
      <c r="E11" s="19" t="s">
        <v>680</v>
      </c>
      <c r="F11" s="20" t="s">
        <v>681</v>
      </c>
      <c r="G11" s="21">
        <v>714</v>
      </c>
    </row>
    <row r="12" spans="1:7" s="1" customFormat="1" ht="30" x14ac:dyDescent="0.3">
      <c r="A12" s="15">
        <v>5</v>
      </c>
      <c r="B12" s="16">
        <v>40546</v>
      </c>
      <c r="C12" s="17" t="s">
        <v>682</v>
      </c>
      <c r="D12" s="18">
        <f>+B12</f>
        <v>40546</v>
      </c>
      <c r="E12" s="19" t="s">
        <v>683</v>
      </c>
      <c r="F12" s="20" t="s">
        <v>684</v>
      </c>
      <c r="G12" s="21">
        <v>493</v>
      </c>
    </row>
    <row r="13" spans="1:7" s="1" customFormat="1" ht="30" x14ac:dyDescent="0.3">
      <c r="A13" s="15">
        <v>6</v>
      </c>
      <c r="B13" s="16">
        <v>40526</v>
      </c>
      <c r="C13" s="17" t="s">
        <v>685</v>
      </c>
      <c r="D13" s="18">
        <f>+B13</f>
        <v>40526</v>
      </c>
      <c r="E13" s="19" t="s">
        <v>686</v>
      </c>
      <c r="F13" s="20" t="s">
        <v>687</v>
      </c>
      <c r="G13" s="21">
        <f>2075.06-(2075.06*0.12)+0.01</f>
        <v>1826.0627999999999</v>
      </c>
    </row>
    <row r="14" spans="1:7" ht="15" x14ac:dyDescent="0.2">
      <c r="A14" s="22"/>
      <c r="B14" s="22"/>
      <c r="C14" s="23"/>
      <c r="D14" s="24"/>
      <c r="E14" s="25"/>
      <c r="F14" s="26" t="s">
        <v>24</v>
      </c>
      <c r="G14" s="27">
        <f>SUM(G8:G13)</f>
        <v>5916.2627999999995</v>
      </c>
    </row>
    <row r="18" spans="1:8" ht="13.5" customHeight="1" x14ac:dyDescent="0.2"/>
    <row r="19" spans="1:8" ht="15" customHeight="1" x14ac:dyDescent="0.3">
      <c r="A19" s="29"/>
      <c r="B19" s="30"/>
      <c r="C19" s="37"/>
      <c r="D19" s="30"/>
      <c r="E19" s="5"/>
      <c r="F19" s="207" t="s">
        <v>0</v>
      </c>
      <c r="G19" s="207"/>
    </row>
    <row r="20" spans="1:8" ht="18.75" x14ac:dyDescent="0.3">
      <c r="A20" s="31" t="s">
        <v>1</v>
      </c>
      <c r="B20" s="29"/>
      <c r="C20" s="37"/>
      <c r="D20" s="30"/>
      <c r="E20" s="5"/>
      <c r="F20" s="29"/>
      <c r="G20" s="29"/>
    </row>
    <row r="21" spans="1:8" ht="15" x14ac:dyDescent="0.3">
      <c r="A21" s="29"/>
      <c r="B21" s="30"/>
      <c r="C21" s="37"/>
      <c r="D21" s="30"/>
      <c r="E21" s="5"/>
      <c r="F21" s="5"/>
      <c r="G21" s="32"/>
    </row>
    <row r="22" spans="1:8" ht="15" x14ac:dyDescent="0.3">
      <c r="A22" s="29"/>
      <c r="B22" s="30"/>
      <c r="C22" s="37"/>
      <c r="D22" s="30"/>
      <c r="E22" s="5"/>
      <c r="F22" s="5"/>
      <c r="G22" s="32"/>
    </row>
    <row r="23" spans="1:8" ht="18" x14ac:dyDescent="0.25">
      <c r="A23" s="208" t="s">
        <v>688</v>
      </c>
      <c r="B23" s="208"/>
      <c r="C23" s="208"/>
      <c r="D23" s="208"/>
      <c r="E23" s="208"/>
      <c r="F23" s="208"/>
      <c r="G23" s="208"/>
    </row>
    <row r="24" spans="1:8" ht="15" x14ac:dyDescent="0.3">
      <c r="A24" s="29"/>
      <c r="B24" s="9"/>
      <c r="C24" s="9"/>
      <c r="D24" s="9"/>
      <c r="E24" s="9"/>
      <c r="F24" s="10"/>
      <c r="G24" s="11"/>
    </row>
    <row r="25" spans="1:8" x14ac:dyDescent="0.2">
      <c r="A25" s="12" t="s">
        <v>2</v>
      </c>
      <c r="B25" s="12" t="s">
        <v>3</v>
      </c>
      <c r="C25" s="13" t="s">
        <v>4</v>
      </c>
      <c r="D25" s="14" t="s">
        <v>25</v>
      </c>
      <c r="E25" s="13" t="s">
        <v>6</v>
      </c>
      <c r="F25" s="13" t="s">
        <v>7</v>
      </c>
      <c r="G25" s="13" t="s">
        <v>8</v>
      </c>
    </row>
    <row r="26" spans="1:8" ht="30" x14ac:dyDescent="0.3">
      <c r="A26" s="15">
        <v>1</v>
      </c>
      <c r="B26" s="16">
        <v>40577</v>
      </c>
      <c r="C26" s="17" t="s">
        <v>689</v>
      </c>
      <c r="D26" s="18" t="s">
        <v>690</v>
      </c>
      <c r="E26" s="19" t="s">
        <v>691</v>
      </c>
      <c r="F26" s="20" t="s">
        <v>692</v>
      </c>
      <c r="G26" s="21">
        <v>576</v>
      </c>
      <c r="H26" t="s">
        <v>27</v>
      </c>
    </row>
    <row r="27" spans="1:8" ht="30" x14ac:dyDescent="0.3">
      <c r="A27" s="15">
        <v>2</v>
      </c>
      <c r="B27" s="16">
        <v>40613</v>
      </c>
      <c r="C27" s="17" t="s">
        <v>693</v>
      </c>
      <c r="D27" s="18" t="s">
        <v>694</v>
      </c>
      <c r="E27" s="19" t="s">
        <v>669</v>
      </c>
      <c r="F27" s="20" t="s">
        <v>695</v>
      </c>
      <c r="G27" s="21">
        <v>10938.6</v>
      </c>
      <c r="H27" t="s">
        <v>27</v>
      </c>
    </row>
    <row r="28" spans="1:8" ht="30" x14ac:dyDescent="0.3">
      <c r="A28" s="15">
        <v>3</v>
      </c>
      <c r="B28" s="16">
        <v>40621</v>
      </c>
      <c r="C28" s="17" t="s">
        <v>696</v>
      </c>
      <c r="D28" s="18" t="s">
        <v>697</v>
      </c>
      <c r="E28" s="19" t="s">
        <v>698</v>
      </c>
      <c r="F28" s="20" t="s">
        <v>699</v>
      </c>
      <c r="G28" s="21">
        <v>1791.24</v>
      </c>
      <c r="H28" t="s">
        <v>27</v>
      </c>
    </row>
    <row r="29" spans="1:8" ht="30" x14ac:dyDescent="0.3">
      <c r="A29" s="15">
        <v>4</v>
      </c>
      <c r="B29" s="16">
        <v>40609</v>
      </c>
      <c r="C29" s="17" t="s">
        <v>700</v>
      </c>
      <c r="D29" s="18" t="s">
        <v>701</v>
      </c>
      <c r="E29" s="19" t="s">
        <v>702</v>
      </c>
      <c r="F29" s="20" t="s">
        <v>703</v>
      </c>
      <c r="G29" s="21">
        <v>3864.5</v>
      </c>
      <c r="H29" t="s">
        <v>27</v>
      </c>
    </row>
    <row r="30" spans="1:8" ht="30" x14ac:dyDescent="0.3">
      <c r="A30" s="15">
        <v>5</v>
      </c>
      <c r="B30" s="16">
        <v>40611</v>
      </c>
      <c r="C30" s="17" t="s">
        <v>704</v>
      </c>
      <c r="D30" s="18" t="s">
        <v>705</v>
      </c>
      <c r="E30" s="19" t="s">
        <v>702</v>
      </c>
      <c r="F30" s="20" t="s">
        <v>706</v>
      </c>
      <c r="G30" s="21">
        <v>4124.1000000000004</v>
      </c>
      <c r="H30" t="s">
        <v>27</v>
      </c>
    </row>
    <row r="31" spans="1:8" ht="30" x14ac:dyDescent="0.3">
      <c r="A31" s="15">
        <v>6</v>
      </c>
      <c r="B31" s="16">
        <v>40624</v>
      </c>
      <c r="C31" s="17" t="s">
        <v>707</v>
      </c>
      <c r="D31" s="18" t="s">
        <v>708</v>
      </c>
      <c r="E31" s="19" t="s">
        <v>709</v>
      </c>
      <c r="F31" s="20" t="s">
        <v>710</v>
      </c>
      <c r="G31" s="21">
        <f>4346.83-4346.83</f>
        <v>0</v>
      </c>
      <c r="H31" t="s">
        <v>126</v>
      </c>
    </row>
    <row r="32" spans="1:8" ht="30" x14ac:dyDescent="0.3">
      <c r="A32" s="15">
        <v>7</v>
      </c>
      <c r="B32" s="16">
        <v>40624</v>
      </c>
      <c r="C32" s="17" t="s">
        <v>711</v>
      </c>
      <c r="D32" s="18" t="s">
        <v>712</v>
      </c>
      <c r="E32" s="19" t="s">
        <v>709</v>
      </c>
      <c r="F32" s="20" t="s">
        <v>713</v>
      </c>
      <c r="G32" s="21">
        <f>4336.51-4336.51</f>
        <v>0</v>
      </c>
      <c r="H32" t="s">
        <v>126</v>
      </c>
    </row>
    <row r="33" spans="1:8" ht="30" x14ac:dyDescent="0.3">
      <c r="A33" s="15">
        <v>8</v>
      </c>
      <c r="B33" s="16">
        <v>40624</v>
      </c>
      <c r="C33" s="17" t="s">
        <v>714</v>
      </c>
      <c r="D33" s="18" t="s">
        <v>715</v>
      </c>
      <c r="E33" s="19" t="s">
        <v>716</v>
      </c>
      <c r="F33" s="20" t="s">
        <v>717</v>
      </c>
      <c r="G33" s="21">
        <v>21181.62</v>
      </c>
      <c r="H33" t="s">
        <v>103</v>
      </c>
    </row>
    <row r="34" spans="1:8" ht="30" x14ac:dyDescent="0.3">
      <c r="A34" s="15">
        <v>9</v>
      </c>
      <c r="B34" s="16">
        <v>40626</v>
      </c>
      <c r="C34" s="17" t="s">
        <v>718</v>
      </c>
      <c r="D34" s="18" t="s">
        <v>719</v>
      </c>
      <c r="E34" s="19" t="s">
        <v>720</v>
      </c>
      <c r="F34" s="20" t="s">
        <v>721</v>
      </c>
      <c r="G34" s="21">
        <v>6079.99</v>
      </c>
      <c r="H34" t="s">
        <v>27</v>
      </c>
    </row>
    <row r="35" spans="1:8" ht="30" x14ac:dyDescent="0.3">
      <c r="A35" s="15">
        <v>10</v>
      </c>
      <c r="B35" s="16">
        <v>40626</v>
      </c>
      <c r="C35" s="17" t="s">
        <v>722</v>
      </c>
      <c r="D35" s="18" t="s">
        <v>723</v>
      </c>
      <c r="E35" s="19" t="s">
        <v>720</v>
      </c>
      <c r="F35" s="20" t="s">
        <v>724</v>
      </c>
      <c r="G35" s="21">
        <v>6079.99</v>
      </c>
      <c r="H35" t="s">
        <v>27</v>
      </c>
    </row>
    <row r="36" spans="1:8" ht="30" x14ac:dyDescent="0.3">
      <c r="A36" s="15">
        <v>11</v>
      </c>
      <c r="B36" s="16">
        <v>40626</v>
      </c>
      <c r="C36" s="17" t="s">
        <v>725</v>
      </c>
      <c r="D36" s="18" t="s">
        <v>726</v>
      </c>
      <c r="E36" s="19" t="s">
        <v>30</v>
      </c>
      <c r="F36" s="20" t="s">
        <v>727</v>
      </c>
      <c r="G36" s="21">
        <f>5531.84-5531.84</f>
        <v>0</v>
      </c>
      <c r="H36" t="s">
        <v>126</v>
      </c>
    </row>
    <row r="37" spans="1:8" ht="30" x14ac:dyDescent="0.3">
      <c r="A37" s="15">
        <v>12</v>
      </c>
      <c r="B37" s="16">
        <v>40626</v>
      </c>
      <c r="C37" s="17" t="s">
        <v>728</v>
      </c>
      <c r="D37" s="18" t="s">
        <v>729</v>
      </c>
      <c r="E37" s="19" t="s">
        <v>30</v>
      </c>
      <c r="F37" s="20" t="s">
        <v>730</v>
      </c>
      <c r="G37" s="21">
        <f>5553.41-5553.41</f>
        <v>0</v>
      </c>
      <c r="H37" t="s">
        <v>126</v>
      </c>
    </row>
    <row r="38" spans="1:8" ht="30" x14ac:dyDescent="0.3">
      <c r="A38" s="15">
        <v>13</v>
      </c>
      <c r="B38" s="16">
        <v>40626</v>
      </c>
      <c r="C38" s="17" t="s">
        <v>731</v>
      </c>
      <c r="D38" s="18" t="s">
        <v>732</v>
      </c>
      <c r="E38" s="19" t="s">
        <v>709</v>
      </c>
      <c r="F38" s="20" t="s">
        <v>733</v>
      </c>
      <c r="G38" s="21">
        <f>3215.76-3215.76</f>
        <v>0</v>
      </c>
      <c r="H38" t="s">
        <v>126</v>
      </c>
    </row>
    <row r="39" spans="1:8" ht="30" x14ac:dyDescent="0.3">
      <c r="A39" s="15">
        <v>14</v>
      </c>
      <c r="B39" s="16">
        <v>40626</v>
      </c>
      <c r="C39" s="17" t="s">
        <v>734</v>
      </c>
      <c r="D39" s="18" t="s">
        <v>735</v>
      </c>
      <c r="E39" s="19" t="s">
        <v>736</v>
      </c>
      <c r="F39" s="20" t="s">
        <v>737</v>
      </c>
      <c r="G39" s="21">
        <f>1546.21-1546.21</f>
        <v>0</v>
      </c>
      <c r="H39" t="s">
        <v>126</v>
      </c>
    </row>
    <row r="40" spans="1:8" s="60" customFormat="1" ht="30" customHeight="1" x14ac:dyDescent="0.3">
      <c r="A40" s="15">
        <v>15</v>
      </c>
      <c r="B40" s="16">
        <v>40634</v>
      </c>
      <c r="C40" s="17" t="s">
        <v>738</v>
      </c>
      <c r="D40" s="18" t="s">
        <v>739</v>
      </c>
      <c r="E40" s="19" t="s">
        <v>212</v>
      </c>
      <c r="F40" s="20" t="s">
        <v>740</v>
      </c>
      <c r="G40" s="21">
        <v>3784.4</v>
      </c>
      <c r="H40" s="60" t="s">
        <v>27</v>
      </c>
    </row>
    <row r="41" spans="1:8" s="60" customFormat="1" ht="30" x14ac:dyDescent="0.3">
      <c r="A41" s="15">
        <v>16</v>
      </c>
      <c r="B41" s="16">
        <v>40626</v>
      </c>
      <c r="C41" s="17" t="s">
        <v>741</v>
      </c>
      <c r="D41" s="18" t="s">
        <v>742</v>
      </c>
      <c r="E41" s="19" t="s">
        <v>743</v>
      </c>
      <c r="F41" s="20" t="s">
        <v>744</v>
      </c>
      <c r="G41" s="21">
        <v>16187.66</v>
      </c>
      <c r="H41" s="60" t="s">
        <v>745</v>
      </c>
    </row>
    <row r="42" spans="1:8" s="60" customFormat="1" ht="30" x14ac:dyDescent="0.3">
      <c r="A42" s="15">
        <v>17</v>
      </c>
      <c r="B42" s="16">
        <v>40627</v>
      </c>
      <c r="C42" s="17" t="s">
        <v>29</v>
      </c>
      <c r="D42" s="18" t="s">
        <v>746</v>
      </c>
      <c r="E42" s="19" t="s">
        <v>747</v>
      </c>
      <c r="F42" s="20" t="s">
        <v>748</v>
      </c>
      <c r="G42" s="21">
        <v>105000</v>
      </c>
      <c r="H42" s="60" t="s">
        <v>27</v>
      </c>
    </row>
    <row r="43" spans="1:8" ht="30" x14ac:dyDescent="0.3">
      <c r="A43" s="61">
        <v>11</v>
      </c>
      <c r="B43" s="62">
        <v>40627</v>
      </c>
      <c r="C43" s="63" t="s">
        <v>725</v>
      </c>
      <c r="D43" s="64" t="s">
        <v>749</v>
      </c>
      <c r="E43" s="65" t="s">
        <v>30</v>
      </c>
      <c r="F43" s="66" t="s">
        <v>727</v>
      </c>
      <c r="G43" s="67">
        <v>5543.5</v>
      </c>
      <c r="H43" t="s">
        <v>27</v>
      </c>
    </row>
    <row r="44" spans="1:8" ht="30" x14ac:dyDescent="0.3">
      <c r="A44" s="61">
        <v>12</v>
      </c>
      <c r="B44" s="62">
        <v>40627</v>
      </c>
      <c r="C44" s="63" t="s">
        <v>728</v>
      </c>
      <c r="D44" s="64" t="s">
        <v>750</v>
      </c>
      <c r="E44" s="65" t="s">
        <v>30</v>
      </c>
      <c r="F44" s="66" t="s">
        <v>730</v>
      </c>
      <c r="G44" s="67">
        <v>5565.55</v>
      </c>
      <c r="H44" t="s">
        <v>27</v>
      </c>
    </row>
    <row r="45" spans="1:8" ht="30" x14ac:dyDescent="0.3">
      <c r="A45" s="61">
        <v>14</v>
      </c>
      <c r="B45" s="62">
        <v>40627</v>
      </c>
      <c r="C45" s="63" t="s">
        <v>734</v>
      </c>
      <c r="D45" s="64" t="s">
        <v>751</v>
      </c>
      <c r="E45" s="65" t="s">
        <v>736</v>
      </c>
      <c r="F45" s="66" t="s">
        <v>737</v>
      </c>
      <c r="G45" s="67">
        <v>1552.42</v>
      </c>
      <c r="H45" t="s">
        <v>27</v>
      </c>
    </row>
    <row r="46" spans="1:8" ht="30" x14ac:dyDescent="0.3">
      <c r="A46" s="61">
        <v>6</v>
      </c>
      <c r="B46" s="62">
        <v>40624</v>
      </c>
      <c r="C46" s="63" t="s">
        <v>707</v>
      </c>
      <c r="D46" s="64" t="s">
        <v>752</v>
      </c>
      <c r="E46" s="65" t="s">
        <v>709</v>
      </c>
      <c r="F46" s="66" t="s">
        <v>710</v>
      </c>
      <c r="G46" s="67">
        <v>5353.7</v>
      </c>
      <c r="H46" t="s">
        <v>27</v>
      </c>
    </row>
    <row r="47" spans="1:8" ht="30" x14ac:dyDescent="0.3">
      <c r="A47" s="61">
        <v>7</v>
      </c>
      <c r="B47" s="62">
        <v>40624</v>
      </c>
      <c r="C47" s="63" t="s">
        <v>711</v>
      </c>
      <c r="D47" s="64" t="s">
        <v>753</v>
      </c>
      <c r="E47" s="65" t="s">
        <v>709</v>
      </c>
      <c r="F47" s="66" t="s">
        <v>713</v>
      </c>
      <c r="G47" s="67">
        <v>5353.7</v>
      </c>
      <c r="H47" t="s">
        <v>27</v>
      </c>
    </row>
    <row r="48" spans="1:8" ht="30" x14ac:dyDescent="0.3">
      <c r="A48" s="61">
        <v>13</v>
      </c>
      <c r="B48" s="62">
        <v>40626</v>
      </c>
      <c r="C48" s="63" t="s">
        <v>731</v>
      </c>
      <c r="D48" s="64" t="s">
        <v>754</v>
      </c>
      <c r="E48" s="65" t="s">
        <v>709</v>
      </c>
      <c r="F48" s="66" t="s">
        <v>733</v>
      </c>
      <c r="G48" s="67">
        <v>4050</v>
      </c>
      <c r="H48" t="s">
        <v>27</v>
      </c>
    </row>
    <row r="49" spans="1:9" ht="15" x14ac:dyDescent="0.3">
      <c r="A49" s="29"/>
      <c r="B49" s="30"/>
      <c r="C49" s="37"/>
      <c r="D49" s="30"/>
      <c r="E49" s="5"/>
      <c r="F49" s="26" t="s">
        <v>24</v>
      </c>
      <c r="G49" s="27">
        <f>SUM(G26:G45)</f>
        <v>192269.56999999998</v>
      </c>
    </row>
    <row r="50" spans="1:9" ht="15" x14ac:dyDescent="0.3">
      <c r="A50" s="29"/>
      <c r="B50" s="30"/>
      <c r="C50" s="37"/>
      <c r="D50" s="30"/>
      <c r="E50" s="5"/>
      <c r="F50" s="55"/>
      <c r="G50" s="68"/>
    </row>
    <row r="52" spans="1:9" s="60" customFormat="1" ht="24" customHeight="1" x14ac:dyDescent="0.3">
      <c r="A52" s="1"/>
      <c r="B52" s="3"/>
      <c r="C52" s="3"/>
      <c r="D52" s="3"/>
      <c r="E52" s="1"/>
      <c r="F52" s="213" t="s">
        <v>0</v>
      </c>
      <c r="G52" s="213"/>
    </row>
    <row r="53" spans="1:9" s="60" customFormat="1" ht="24" customHeight="1" x14ac:dyDescent="0.3">
      <c r="A53" s="214" t="s">
        <v>1</v>
      </c>
      <c r="B53" s="214"/>
      <c r="C53" s="214"/>
      <c r="D53" s="214"/>
      <c r="E53" s="214"/>
      <c r="F53" s="1"/>
      <c r="G53" s="1"/>
    </row>
    <row r="54" spans="1:9" s="60" customFormat="1" ht="24" customHeight="1" x14ac:dyDescent="0.3">
      <c r="A54" s="1"/>
      <c r="B54" s="3"/>
      <c r="C54" s="3"/>
      <c r="D54" s="3"/>
      <c r="E54" s="1"/>
      <c r="F54" s="1"/>
      <c r="G54" s="69"/>
    </row>
    <row r="55" spans="1:9" s="60" customFormat="1" ht="24" customHeight="1" x14ac:dyDescent="0.3">
      <c r="A55" s="1"/>
      <c r="B55" s="3"/>
      <c r="C55" s="3"/>
      <c r="D55" s="3"/>
      <c r="E55" s="1"/>
      <c r="F55" s="1"/>
      <c r="G55" s="69"/>
    </row>
    <row r="56" spans="1:9" s="60" customFormat="1" ht="24" customHeight="1" x14ac:dyDescent="0.25">
      <c r="A56" s="208" t="s">
        <v>755</v>
      </c>
      <c r="B56" s="208"/>
      <c r="C56" s="208"/>
      <c r="D56" s="208"/>
      <c r="E56" s="208"/>
      <c r="F56" s="208"/>
      <c r="G56" s="208"/>
    </row>
    <row r="57" spans="1:9" s="60" customFormat="1" ht="15" x14ac:dyDescent="0.3">
      <c r="A57" s="1"/>
      <c r="B57" s="70"/>
      <c r="C57" s="70"/>
      <c r="D57" s="70"/>
      <c r="E57" s="70"/>
      <c r="F57" s="71"/>
      <c r="G57" s="1"/>
    </row>
    <row r="58" spans="1:9" s="60" customFormat="1" x14ac:dyDescent="0.2">
      <c r="A58" s="72" t="s">
        <v>2</v>
      </c>
      <c r="B58" s="72" t="s">
        <v>3</v>
      </c>
      <c r="C58" s="72" t="s">
        <v>4</v>
      </c>
      <c r="D58" s="72" t="s">
        <v>5</v>
      </c>
      <c r="E58" s="72" t="s">
        <v>6</v>
      </c>
      <c r="F58" s="72" t="s">
        <v>146</v>
      </c>
      <c r="G58" s="13" t="s">
        <v>8</v>
      </c>
    </row>
    <row r="59" spans="1:9" s="60" customFormat="1" ht="30" x14ac:dyDescent="0.3">
      <c r="A59" s="15">
        <v>1</v>
      </c>
      <c r="B59" s="16">
        <v>40575</v>
      </c>
      <c r="C59" s="17" t="s">
        <v>756</v>
      </c>
      <c r="D59" s="73">
        <v>40635</v>
      </c>
      <c r="E59" s="19" t="s">
        <v>757</v>
      </c>
      <c r="F59" s="20" t="s">
        <v>306</v>
      </c>
      <c r="G59" s="21">
        <v>17850</v>
      </c>
      <c r="H59" s="60" t="s">
        <v>758</v>
      </c>
      <c r="I59" s="60" t="s">
        <v>27</v>
      </c>
    </row>
    <row r="60" spans="1:9" s="60" customFormat="1" ht="30" x14ac:dyDescent="0.3">
      <c r="A60" s="15">
        <v>2</v>
      </c>
      <c r="B60" s="16">
        <v>40576</v>
      </c>
      <c r="C60" s="17" t="s">
        <v>759</v>
      </c>
      <c r="D60" s="73">
        <v>40636</v>
      </c>
      <c r="E60" s="19" t="s">
        <v>760</v>
      </c>
      <c r="F60" s="20" t="s">
        <v>761</v>
      </c>
      <c r="G60" s="21">
        <v>26236.78</v>
      </c>
      <c r="H60" s="60" t="s">
        <v>762</v>
      </c>
      <c r="I60" s="60" t="s">
        <v>27</v>
      </c>
    </row>
    <row r="61" spans="1:9" s="60" customFormat="1" ht="15" x14ac:dyDescent="0.3">
      <c r="A61" s="1"/>
      <c r="B61" s="3"/>
      <c r="C61" s="3"/>
      <c r="D61" s="3"/>
      <c r="E61" s="1"/>
      <c r="F61" s="72" t="s">
        <v>155</v>
      </c>
      <c r="G61" s="27">
        <f>SUM(G59:G60)</f>
        <v>44086.78</v>
      </c>
    </row>
    <row r="62" spans="1:9" s="60" customFormat="1" x14ac:dyDescent="0.2">
      <c r="B62" s="74"/>
    </row>
    <row r="63" spans="1:9" ht="13.5" customHeight="1" x14ac:dyDescent="0.2">
      <c r="B63" s="35"/>
    </row>
    <row r="64" spans="1:9" ht="18.75" x14ac:dyDescent="0.3">
      <c r="A64" s="209" t="s">
        <v>1</v>
      </c>
      <c r="B64" s="209"/>
      <c r="C64" s="209"/>
      <c r="D64" s="209"/>
      <c r="E64" s="209"/>
      <c r="F64" s="47"/>
      <c r="G64" s="47"/>
    </row>
    <row r="65" spans="1:8" ht="15" x14ac:dyDescent="0.3">
      <c r="A65" s="1"/>
      <c r="B65" s="37"/>
      <c r="C65" s="37"/>
      <c r="D65" s="37"/>
      <c r="E65" s="47"/>
      <c r="F65" s="47"/>
      <c r="G65" s="48"/>
    </row>
    <row r="66" spans="1:8" ht="15" x14ac:dyDescent="0.3">
      <c r="A66" s="1"/>
      <c r="B66" s="37"/>
      <c r="C66" s="37"/>
      <c r="D66" s="37"/>
      <c r="E66" s="47"/>
      <c r="F66" s="47"/>
      <c r="G66" s="48"/>
    </row>
    <row r="67" spans="1:8" ht="18" x14ac:dyDescent="0.25">
      <c r="A67" s="210" t="s">
        <v>763</v>
      </c>
      <c r="B67" s="210"/>
      <c r="C67" s="210"/>
      <c r="D67" s="210"/>
      <c r="E67" s="210"/>
      <c r="F67" s="210"/>
      <c r="G67" s="210"/>
    </row>
    <row r="68" spans="1:8" ht="15" x14ac:dyDescent="0.3">
      <c r="A68" s="1"/>
      <c r="B68" s="49"/>
      <c r="C68" s="49"/>
      <c r="D68" s="49"/>
      <c r="E68" s="49"/>
      <c r="F68" s="50"/>
      <c r="G68" s="47"/>
    </row>
    <row r="69" spans="1:8" ht="15" x14ac:dyDescent="0.3">
      <c r="A69" s="51" t="s">
        <v>2</v>
      </c>
      <c r="B69" s="51" t="s">
        <v>3</v>
      </c>
      <c r="C69" s="51" t="s">
        <v>4</v>
      </c>
      <c r="D69" s="51" t="s">
        <v>5</v>
      </c>
      <c r="E69" s="51" t="s">
        <v>6</v>
      </c>
      <c r="F69" s="51" t="s">
        <v>146</v>
      </c>
      <c r="G69" s="47"/>
    </row>
    <row r="70" spans="1:8" ht="30" x14ac:dyDescent="0.3">
      <c r="A70" s="52">
        <v>1</v>
      </c>
      <c r="B70" s="53">
        <v>40626</v>
      </c>
      <c r="C70" s="17" t="s">
        <v>764</v>
      </c>
      <c r="D70" s="54">
        <f>+B70</f>
        <v>40626</v>
      </c>
      <c r="E70" s="19" t="s">
        <v>709</v>
      </c>
      <c r="F70" s="20" t="s">
        <v>765</v>
      </c>
      <c r="G70" s="47"/>
      <c r="H70" s="1"/>
    </row>
    <row r="71" spans="1:8" ht="15" x14ac:dyDescent="0.3">
      <c r="A71" s="1"/>
      <c r="B71" s="37"/>
      <c r="C71" s="37"/>
      <c r="D71" s="37"/>
      <c r="E71" s="47"/>
      <c r="F71" s="47"/>
      <c r="G71" s="47"/>
    </row>
    <row r="74" spans="1:8" x14ac:dyDescent="0.2">
      <c r="A74" s="211" t="s">
        <v>609</v>
      </c>
      <c r="B74" s="211"/>
      <c r="C74" s="211"/>
      <c r="D74" s="211"/>
      <c r="E74" s="211"/>
      <c r="F74" s="211"/>
      <c r="G74" s="211"/>
    </row>
    <row r="75" spans="1:8" x14ac:dyDescent="0.2">
      <c r="A75" s="211"/>
      <c r="B75" s="211"/>
      <c r="C75" s="211"/>
      <c r="D75" s="211"/>
      <c r="E75" s="211"/>
      <c r="F75" s="211"/>
      <c r="G75" s="211"/>
    </row>
    <row r="76" spans="1:8" x14ac:dyDescent="0.2">
      <c r="A76" s="211"/>
      <c r="B76" s="211"/>
      <c r="C76" s="211"/>
      <c r="D76" s="211"/>
      <c r="E76" s="211"/>
      <c r="F76" s="211"/>
      <c r="G76" s="211"/>
    </row>
    <row r="77" spans="1:8" ht="15" x14ac:dyDescent="0.3">
      <c r="A77" s="1"/>
      <c r="B77" s="1"/>
      <c r="C77" s="1"/>
      <c r="D77" s="1"/>
      <c r="E77" s="1"/>
      <c r="F77" s="5"/>
      <c r="G77" s="11"/>
      <c r="H77" s="1"/>
    </row>
    <row r="78" spans="1:8" ht="15" customHeight="1" x14ac:dyDescent="0.3">
      <c r="A78" s="29"/>
      <c r="B78" s="30"/>
      <c r="C78" s="37"/>
      <c r="D78" s="30"/>
      <c r="E78" s="5"/>
      <c r="F78" s="207" t="s">
        <v>0</v>
      </c>
      <c r="G78" s="207"/>
      <c r="H78" s="1"/>
    </row>
    <row r="79" spans="1:8" ht="18.75" x14ac:dyDescent="0.3">
      <c r="A79" s="31" t="s">
        <v>1</v>
      </c>
      <c r="B79" s="29"/>
      <c r="C79" s="37"/>
      <c r="D79" s="30"/>
      <c r="E79" s="5"/>
      <c r="F79" s="29"/>
      <c r="G79" s="29"/>
      <c r="H79" s="1"/>
    </row>
    <row r="80" spans="1:8" ht="15" x14ac:dyDescent="0.3">
      <c r="A80" s="29"/>
      <c r="B80" s="30"/>
      <c r="C80" s="37"/>
      <c r="D80" s="30"/>
      <c r="E80" s="5"/>
      <c r="F80" s="5"/>
      <c r="G80" s="32"/>
      <c r="H80" s="1"/>
    </row>
    <row r="81" spans="1:8" ht="15" x14ac:dyDescent="0.3">
      <c r="A81" s="29"/>
      <c r="B81" s="30"/>
      <c r="C81" s="37"/>
      <c r="D81" s="30"/>
      <c r="E81" s="5"/>
      <c r="F81" s="5"/>
      <c r="G81" s="32"/>
      <c r="H81" s="1"/>
    </row>
    <row r="82" spans="1:8" ht="18.75" x14ac:dyDescent="0.3">
      <c r="A82" s="208" t="s">
        <v>646</v>
      </c>
      <c r="B82" s="208"/>
      <c r="C82" s="208"/>
      <c r="D82" s="208"/>
      <c r="E82" s="208"/>
      <c r="F82" s="208"/>
      <c r="G82" s="208"/>
      <c r="H82" s="1"/>
    </row>
    <row r="83" spans="1:8" ht="15" x14ac:dyDescent="0.3">
      <c r="A83" s="29"/>
      <c r="B83" s="9"/>
      <c r="C83" s="9"/>
      <c r="D83" s="9"/>
      <c r="E83" s="9"/>
      <c r="F83" s="10"/>
      <c r="G83" s="11"/>
      <c r="H83" s="1"/>
    </row>
    <row r="84" spans="1:8" ht="15" x14ac:dyDescent="0.3">
      <c r="A84" s="12" t="s">
        <v>2</v>
      </c>
      <c r="B84" s="12" t="s">
        <v>3</v>
      </c>
      <c r="C84" s="13" t="s">
        <v>4</v>
      </c>
      <c r="D84" s="14" t="s">
        <v>25</v>
      </c>
      <c r="E84" s="13" t="s">
        <v>6</v>
      </c>
      <c r="F84" s="13" t="s">
        <v>7</v>
      </c>
      <c r="G84" s="13" t="s">
        <v>8</v>
      </c>
      <c r="H84" s="1"/>
    </row>
    <row r="85" spans="1:8" ht="30" x14ac:dyDescent="0.3">
      <c r="A85" s="15">
        <v>1</v>
      </c>
      <c r="B85" s="16">
        <v>40620</v>
      </c>
      <c r="C85" s="17" t="s">
        <v>667</v>
      </c>
      <c r="D85" s="18" t="s">
        <v>668</v>
      </c>
      <c r="E85" s="19" t="s">
        <v>669</v>
      </c>
      <c r="F85" s="20" t="s">
        <v>670</v>
      </c>
      <c r="G85" s="21">
        <v>87516.09</v>
      </c>
      <c r="H85" t="s">
        <v>27</v>
      </c>
    </row>
    <row r="86" spans="1:8" ht="15" x14ac:dyDescent="0.3">
      <c r="A86" s="29"/>
      <c r="B86" s="30"/>
      <c r="C86" s="37"/>
      <c r="D86" s="30"/>
      <c r="E86" s="5"/>
      <c r="F86" s="26" t="s">
        <v>24</v>
      </c>
      <c r="G86" s="27">
        <f>+G85</f>
        <v>87516.09</v>
      </c>
      <c r="H86" s="1"/>
    </row>
    <row r="87" spans="1:8" ht="15" x14ac:dyDescent="0.3">
      <c r="A87" s="1"/>
      <c r="B87" s="1"/>
      <c r="C87" s="1"/>
      <c r="D87" s="1"/>
      <c r="E87" s="1"/>
      <c r="F87" s="5"/>
      <c r="G87" s="11"/>
      <c r="H87" s="1"/>
    </row>
    <row r="184" spans="6:6" x14ac:dyDescent="0.2">
      <c r="F184" s="75"/>
    </row>
  </sheetData>
  <sheetProtection selectLockedCells="1" selectUnlockedCells="1"/>
  <mergeCells count="12">
    <mergeCell ref="F78:G78"/>
    <mergeCell ref="A82:G82"/>
    <mergeCell ref="A53:E53"/>
    <mergeCell ref="A56:G56"/>
    <mergeCell ref="A64:E64"/>
    <mergeCell ref="A67:G67"/>
    <mergeCell ref="A74:G76"/>
    <mergeCell ref="F1:G1"/>
    <mergeCell ref="A5:G5"/>
    <mergeCell ref="F19:G19"/>
    <mergeCell ref="A23:G23"/>
    <mergeCell ref="F52:G52"/>
  </mergeCells>
  <pageMargins left="0.74791666666666667" right="0.74791666666666667" top="0.98402777777777772" bottom="0.98402777777777772" header="0.51180555555555551" footer="0.51180555555555551"/>
  <pageSetup scale="67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63</vt:i4>
      </vt:variant>
      <vt:variant>
        <vt:lpstr>Rangos con nombre</vt:lpstr>
      </vt:variant>
      <vt:variant>
        <vt:i4>106</vt:i4>
      </vt:variant>
    </vt:vector>
  </HeadingPairs>
  <TitlesOfParts>
    <vt:vector size="169" baseType="lpstr">
      <vt:lpstr>SL,25,02,11</vt:lpstr>
      <vt:lpstr>$ 25.02.11</vt:lpstr>
      <vt:lpstr>SL,04,03,11</vt:lpstr>
      <vt:lpstr>$ 04.03.11 </vt:lpstr>
      <vt:lpstr>SL,11,03,11</vt:lpstr>
      <vt:lpstr>$ 11.03.11</vt:lpstr>
      <vt:lpstr>SL,18,03,11</vt:lpstr>
      <vt:lpstr>$ 18.03.11</vt:lpstr>
      <vt:lpstr>$ 25.03.11</vt:lpstr>
      <vt:lpstr>SL 25,03,11</vt:lpstr>
      <vt:lpstr>SL. 01,04,11</vt:lpstr>
      <vt:lpstr>$ 01,04,11</vt:lpstr>
      <vt:lpstr>SL. 08,04,11 </vt:lpstr>
      <vt:lpstr>$ 08,04,11 </vt:lpstr>
      <vt:lpstr>SL 15,04,11</vt:lpstr>
      <vt:lpstr>$ 15,04,11 </vt:lpstr>
      <vt:lpstr>SL 22,04,11 </vt:lpstr>
      <vt:lpstr>$ 22,04,11</vt:lpstr>
      <vt:lpstr>SL 04.11.11</vt:lpstr>
      <vt:lpstr>$ 04.11.11</vt:lpstr>
      <vt:lpstr>SL 11.11.11</vt:lpstr>
      <vt:lpstr>$ 11.11.11</vt:lpstr>
      <vt:lpstr>SL 18.11.11</vt:lpstr>
      <vt:lpstr>$ 18.11.11</vt:lpstr>
      <vt:lpstr>SL 25.11.11</vt:lpstr>
      <vt:lpstr>$ 25.11.11</vt:lpstr>
      <vt:lpstr>SL 02.12.11 </vt:lpstr>
      <vt:lpstr>$ 02.12.11</vt:lpstr>
      <vt:lpstr>SL 09.12.11 </vt:lpstr>
      <vt:lpstr>$ 09.12.11 </vt:lpstr>
      <vt:lpstr>SL 16.12.11  </vt:lpstr>
      <vt:lpstr>$ 16.12.11 </vt:lpstr>
      <vt:lpstr>SL 23.12.11</vt:lpstr>
      <vt:lpstr>$ 23.12.11</vt:lpstr>
      <vt:lpstr>SL 30.12.11</vt:lpstr>
      <vt:lpstr>$ 30.12.11 </vt:lpstr>
      <vt:lpstr>SL 03.02.12</vt:lpstr>
      <vt:lpstr>$ 03.02.12</vt:lpstr>
      <vt:lpstr>SL 10.02.12</vt:lpstr>
      <vt:lpstr>$ 10.02.12</vt:lpstr>
      <vt:lpstr>SL 17.02.12</vt:lpstr>
      <vt:lpstr>$ 17.02.12</vt:lpstr>
      <vt:lpstr>SL 24.02.12</vt:lpstr>
      <vt:lpstr>$ 24.02.12</vt:lpstr>
      <vt:lpstr>$ 11.02.11</vt:lpstr>
      <vt:lpstr>SL 30.03.12</vt:lpstr>
      <vt:lpstr>$ 30.03.12</vt:lpstr>
      <vt:lpstr>SL 07.04.12</vt:lpstr>
      <vt:lpstr>$ 07.04.12</vt:lpstr>
      <vt:lpstr>SL 14.04.12</vt:lpstr>
      <vt:lpstr>$ 14.04.12</vt:lpstr>
      <vt:lpstr>SL 21.04.12</vt:lpstr>
      <vt:lpstr>$ 21.04.12</vt:lpstr>
      <vt:lpstr>SL 28.04.12</vt:lpstr>
      <vt:lpstr>$ 28.04.12</vt:lpstr>
      <vt:lpstr>SOLES 05.05.15</vt:lpstr>
      <vt:lpstr>DOLARES 05.05.15</vt:lpstr>
      <vt:lpstr>SOLES 12.05.15</vt:lpstr>
      <vt:lpstr>DOLARES 12.05.15</vt:lpstr>
      <vt:lpstr>SOLES 19.05.15</vt:lpstr>
      <vt:lpstr>DOLARES 19.05.15</vt:lpstr>
      <vt:lpstr>SOLES 26.05.15</vt:lpstr>
      <vt:lpstr>DOLARES 26.05.15</vt:lpstr>
      <vt:lpstr>'$ 01,04,11'!__xlnm.Print_Area</vt:lpstr>
      <vt:lpstr>'$ 02.12.11'!__xlnm.Print_Area</vt:lpstr>
      <vt:lpstr>'$ 03.02.12'!__xlnm.Print_Area</vt:lpstr>
      <vt:lpstr>'$ 04.03.11 '!__xlnm.Print_Area</vt:lpstr>
      <vt:lpstr>'$ 04.11.11'!__xlnm.Print_Area</vt:lpstr>
      <vt:lpstr>'$ 07.04.12'!__xlnm.Print_Area</vt:lpstr>
      <vt:lpstr>'$ 08,04,11 '!__xlnm.Print_Area</vt:lpstr>
      <vt:lpstr>'$ 09.12.11 '!__xlnm.Print_Area</vt:lpstr>
      <vt:lpstr>'$ 10.02.12'!__xlnm.Print_Area</vt:lpstr>
      <vt:lpstr>'$ 11.02.11'!__xlnm.Print_Area</vt:lpstr>
      <vt:lpstr>'$ 11.03.11'!__xlnm.Print_Area</vt:lpstr>
      <vt:lpstr>'$ 11.11.11'!__xlnm.Print_Area</vt:lpstr>
      <vt:lpstr>'$ 14.04.12'!__xlnm.Print_Area</vt:lpstr>
      <vt:lpstr>'$ 15,04,11 '!__xlnm.Print_Area</vt:lpstr>
      <vt:lpstr>'$ 16.12.11 '!__xlnm.Print_Area</vt:lpstr>
      <vt:lpstr>'$ 17.02.12'!__xlnm.Print_Area</vt:lpstr>
      <vt:lpstr>'$ 18.03.11'!__xlnm.Print_Area</vt:lpstr>
      <vt:lpstr>'$ 18.11.11'!__xlnm.Print_Area</vt:lpstr>
      <vt:lpstr>'$ 21.04.12'!__xlnm.Print_Area</vt:lpstr>
      <vt:lpstr>'$ 22,04,11'!__xlnm.Print_Area</vt:lpstr>
      <vt:lpstr>'$ 23.12.11'!__xlnm.Print_Area</vt:lpstr>
      <vt:lpstr>'$ 24.02.12'!__xlnm.Print_Area</vt:lpstr>
      <vt:lpstr>'$ 25.02.11'!__xlnm.Print_Area</vt:lpstr>
      <vt:lpstr>'$ 25.03.11'!__xlnm.Print_Area</vt:lpstr>
      <vt:lpstr>'$ 25.11.11'!__xlnm.Print_Area</vt:lpstr>
      <vt:lpstr>'$ 28.04.12'!__xlnm.Print_Area</vt:lpstr>
      <vt:lpstr>'$ 30.03.12'!__xlnm.Print_Area</vt:lpstr>
      <vt:lpstr>'$ 30.12.11 '!__xlnm.Print_Area</vt:lpstr>
      <vt:lpstr>'SL 02.12.11 '!__xlnm.Print_Area</vt:lpstr>
      <vt:lpstr>'SL 03.02.12'!__xlnm.Print_Area</vt:lpstr>
      <vt:lpstr>'SL 04.11.11'!__xlnm.Print_Area</vt:lpstr>
      <vt:lpstr>'SL 07.04.12'!__xlnm.Print_Area</vt:lpstr>
      <vt:lpstr>'SL 09.12.11 '!__xlnm.Print_Area</vt:lpstr>
      <vt:lpstr>'SL 10.02.12'!__xlnm.Print_Area</vt:lpstr>
      <vt:lpstr>'SL 11.11.11'!__xlnm.Print_Area</vt:lpstr>
      <vt:lpstr>'SL 14.04.12'!__xlnm.Print_Area</vt:lpstr>
      <vt:lpstr>'SL 15,04,11'!__xlnm.Print_Area</vt:lpstr>
      <vt:lpstr>'SL 16.12.11  '!__xlnm.Print_Area</vt:lpstr>
      <vt:lpstr>'SL 17.02.12'!__xlnm.Print_Area</vt:lpstr>
      <vt:lpstr>'SL 18.11.11'!__xlnm.Print_Area</vt:lpstr>
      <vt:lpstr>'SL 21.04.12'!__xlnm.Print_Area</vt:lpstr>
      <vt:lpstr>'SL 22,04,11 '!__xlnm.Print_Area</vt:lpstr>
      <vt:lpstr>'SL 23.12.11'!__xlnm.Print_Area</vt:lpstr>
      <vt:lpstr>'SL 24.02.12'!__xlnm.Print_Area</vt:lpstr>
      <vt:lpstr>'SL 25.11.11'!__xlnm.Print_Area</vt:lpstr>
      <vt:lpstr>'SL 30.03.12'!__xlnm.Print_Area</vt:lpstr>
      <vt:lpstr>'SL 30.12.11'!__xlnm.Print_Area</vt:lpstr>
      <vt:lpstr>'SL,04,03,11'!__xlnm.Print_Area</vt:lpstr>
      <vt:lpstr>'SL,11,03,11'!__xlnm.Print_Area</vt:lpstr>
      <vt:lpstr>'SL,18,03,11'!__xlnm.Print_Area</vt:lpstr>
      <vt:lpstr>'SL,25,02,11'!__xlnm.Print_Area</vt:lpstr>
      <vt:lpstr>'SL. 01,04,11'!__xlnm.Print_Area</vt:lpstr>
      <vt:lpstr>'SL. 08,04,11 '!__xlnm.Print_Area</vt:lpstr>
      <vt:lpstr>'$ 01,04,11'!Área_de_impresión</vt:lpstr>
      <vt:lpstr>'$ 02.12.11'!Área_de_impresión</vt:lpstr>
      <vt:lpstr>'$ 03.02.12'!Área_de_impresión</vt:lpstr>
      <vt:lpstr>'$ 04.03.11 '!Área_de_impresión</vt:lpstr>
      <vt:lpstr>'$ 04.11.11'!Área_de_impresión</vt:lpstr>
      <vt:lpstr>'$ 07.04.12'!Área_de_impresión</vt:lpstr>
      <vt:lpstr>'$ 08,04,11 '!Área_de_impresión</vt:lpstr>
      <vt:lpstr>'$ 09.12.11 '!Área_de_impresión</vt:lpstr>
      <vt:lpstr>'$ 10.02.12'!Área_de_impresión</vt:lpstr>
      <vt:lpstr>'$ 11.02.11'!Área_de_impresión</vt:lpstr>
      <vt:lpstr>'$ 11.03.11'!Área_de_impresión</vt:lpstr>
      <vt:lpstr>'$ 11.11.11'!Área_de_impresión</vt:lpstr>
      <vt:lpstr>'$ 14.04.12'!Área_de_impresión</vt:lpstr>
      <vt:lpstr>'$ 15,04,11 '!Área_de_impresión</vt:lpstr>
      <vt:lpstr>'$ 16.12.11 '!Área_de_impresión</vt:lpstr>
      <vt:lpstr>'$ 17.02.12'!Área_de_impresión</vt:lpstr>
      <vt:lpstr>'$ 18.03.11'!Área_de_impresión</vt:lpstr>
      <vt:lpstr>'$ 18.11.11'!Área_de_impresión</vt:lpstr>
      <vt:lpstr>'$ 21.04.12'!Área_de_impresión</vt:lpstr>
      <vt:lpstr>'$ 22,04,11'!Área_de_impresión</vt:lpstr>
      <vt:lpstr>'$ 23.12.11'!Área_de_impresión</vt:lpstr>
      <vt:lpstr>'$ 24.02.12'!Área_de_impresión</vt:lpstr>
      <vt:lpstr>'$ 25.02.11'!Área_de_impresión</vt:lpstr>
      <vt:lpstr>'$ 25.03.11'!Área_de_impresión</vt:lpstr>
      <vt:lpstr>'$ 25.11.11'!Área_de_impresión</vt:lpstr>
      <vt:lpstr>'$ 28.04.12'!Área_de_impresión</vt:lpstr>
      <vt:lpstr>'$ 30.03.12'!Área_de_impresión</vt:lpstr>
      <vt:lpstr>'$ 30.12.11 '!Área_de_impresión</vt:lpstr>
      <vt:lpstr>'SL 02.12.11 '!Área_de_impresión</vt:lpstr>
      <vt:lpstr>'SL 03.02.12'!Área_de_impresión</vt:lpstr>
      <vt:lpstr>'SL 04.11.11'!Área_de_impresión</vt:lpstr>
      <vt:lpstr>'SL 07.04.12'!Área_de_impresión</vt:lpstr>
      <vt:lpstr>'SL 09.12.11 '!Área_de_impresión</vt:lpstr>
      <vt:lpstr>'SL 10.02.12'!Área_de_impresión</vt:lpstr>
      <vt:lpstr>'SL 11.11.11'!Área_de_impresión</vt:lpstr>
      <vt:lpstr>'SL 14.04.12'!Área_de_impresión</vt:lpstr>
      <vt:lpstr>'SL 15,04,11'!Área_de_impresión</vt:lpstr>
      <vt:lpstr>'SL 16.12.11  '!Área_de_impresión</vt:lpstr>
      <vt:lpstr>'SL 17.02.12'!Área_de_impresión</vt:lpstr>
      <vt:lpstr>'SL 18.11.11'!Área_de_impresión</vt:lpstr>
      <vt:lpstr>'SL 21.04.12'!Área_de_impresión</vt:lpstr>
      <vt:lpstr>'SL 22,04,11 '!Área_de_impresión</vt:lpstr>
      <vt:lpstr>'SL 23.12.11'!Área_de_impresión</vt:lpstr>
      <vt:lpstr>'SL 24.02.12'!Área_de_impresión</vt:lpstr>
      <vt:lpstr>'SL 25.11.11'!Área_de_impresión</vt:lpstr>
      <vt:lpstr>'SL 30.03.12'!Área_de_impresión</vt:lpstr>
      <vt:lpstr>'SL 30.12.11'!Área_de_impresión</vt:lpstr>
      <vt:lpstr>'SL,04,03,11'!Área_de_impresión</vt:lpstr>
      <vt:lpstr>'SL,11,03,11'!Área_de_impresión</vt:lpstr>
      <vt:lpstr>'SL,18,03,11'!Área_de_impresión</vt:lpstr>
      <vt:lpstr>'SL,25,02,11'!Área_de_impresión</vt:lpstr>
      <vt:lpstr>'SL. 01,04,11'!Área_de_impresión</vt:lpstr>
      <vt:lpstr>'SL. 08,04,11 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Silvana Olivos</dc:creator>
  <cp:lastModifiedBy>Silvana Olivos</cp:lastModifiedBy>
  <cp:lastPrinted>2015-05-11T18:55:07Z</cp:lastPrinted>
  <dcterms:created xsi:type="dcterms:W3CDTF">2014-05-27T23:39:10Z</dcterms:created>
  <dcterms:modified xsi:type="dcterms:W3CDTF">2015-05-14T23:15:04Z</dcterms:modified>
</cp:coreProperties>
</file>